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icolaspicon/Library/Mobile Documents/com~apple~CloudDocs/FOSTER/Software Entrepreneurship/"/>
    </mc:Choice>
  </mc:AlternateContent>
  <xr:revisionPtr revIDLastSave="0" documentId="13_ncr:1_{67C339F7-689E-B645-940B-423BD5C7A003}" xr6:coauthVersionLast="47" xr6:coauthVersionMax="47" xr10:uidLastSave="{00000000-0000-0000-0000-000000000000}"/>
  <bookViews>
    <workbookView xWindow="-38400" yWindow="-5880" windowWidth="38400" windowHeight="21600" xr2:uid="{2D5BCDA8-9AFC-7A41-8B1D-716DF864EBFC}"/>
  </bookViews>
  <sheets>
    <sheet name="VC Summary" sheetId="6" r:id="rId1"/>
    <sheet name="Global Assumptions" sheetId="2" r:id="rId2"/>
    <sheet name="12-Mo Projections" sheetId="3" r:id="rId3"/>
    <sheet name="3-Yr Summary P&amp;L" sheetId="4" r:id="rId4"/>
    <sheet name="Cash Flow" sheetId="5" r:id="rId5"/>
    <sheet name="Sensitivity Analysis" sheetId="7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7" i="5" l="1"/>
  <c r="D18" i="5" s="1"/>
  <c r="C17" i="5"/>
  <c r="C18" i="5" s="1"/>
  <c r="B22" i="5"/>
  <c r="D36" i="4"/>
  <c r="D35" i="4"/>
  <c r="D34" i="4"/>
  <c r="D33" i="4"/>
  <c r="D32" i="4"/>
  <c r="D31" i="4"/>
  <c r="C36" i="4"/>
  <c r="C35" i="4"/>
  <c r="C34" i="4"/>
  <c r="C33" i="4"/>
  <c r="C32" i="4"/>
  <c r="C31" i="4"/>
  <c r="M48" i="3"/>
  <c r="M45" i="3"/>
  <c r="L48" i="3"/>
  <c r="L45" i="3"/>
  <c r="K48" i="3"/>
  <c r="K45" i="3"/>
  <c r="J48" i="3"/>
  <c r="J45" i="3"/>
  <c r="I48" i="3"/>
  <c r="I45" i="3"/>
  <c r="H48" i="3"/>
  <c r="H45" i="3"/>
  <c r="G48" i="3"/>
  <c r="G45" i="3"/>
  <c r="F48" i="3"/>
  <c r="F45" i="3"/>
  <c r="E48" i="3"/>
  <c r="E45" i="3"/>
  <c r="D48" i="3"/>
  <c r="D45" i="3"/>
  <c r="C48" i="3"/>
  <c r="C45" i="3"/>
  <c r="B48" i="3"/>
  <c r="B45" i="3"/>
  <c r="M44" i="3"/>
  <c r="L44" i="3"/>
  <c r="K44" i="3"/>
  <c r="J44" i="3"/>
  <c r="I44" i="3"/>
  <c r="H44" i="3"/>
  <c r="G44" i="3"/>
  <c r="F44" i="3"/>
  <c r="E44" i="3"/>
  <c r="D44" i="3"/>
  <c r="C44" i="3"/>
  <c r="B44" i="3"/>
  <c r="B81" i="2"/>
  <c r="B55" i="4" s="1"/>
  <c r="D14" i="5"/>
  <c r="C14" i="5"/>
  <c r="B14" i="5"/>
  <c r="B9" i="7"/>
  <c r="B8" i="7"/>
  <c r="B7" i="7"/>
  <c r="B66" i="6"/>
  <c r="B65" i="6"/>
  <c r="B64" i="6"/>
  <c r="B62" i="6"/>
  <c r="B61" i="6"/>
  <c r="B63" i="6" s="1"/>
  <c r="B60" i="6"/>
  <c r="D48" i="6"/>
  <c r="C48" i="6"/>
  <c r="B48" i="6"/>
  <c r="B40" i="6"/>
  <c r="B76" i="6" s="1"/>
  <c r="F29" i="6"/>
  <c r="F30" i="6" s="1"/>
  <c r="E29" i="6"/>
  <c r="E30" i="6" s="1"/>
  <c r="D29" i="6"/>
  <c r="D30" i="6" s="1"/>
  <c r="D33" i="6" s="1"/>
  <c r="C29" i="6"/>
  <c r="C30" i="6" s="1"/>
  <c r="B29" i="6"/>
  <c r="B30" i="6" s="1"/>
  <c r="B32" i="6" s="1"/>
  <c r="D22" i="6"/>
  <c r="B22" i="6"/>
  <c r="D30" i="4"/>
  <c r="D12" i="4"/>
  <c r="D10" i="4"/>
  <c r="C30" i="4"/>
  <c r="C12" i="4"/>
  <c r="C22" i="6" s="1"/>
  <c r="C10" i="4"/>
  <c r="B54" i="4"/>
  <c r="B10" i="4"/>
  <c r="B9" i="4"/>
  <c r="B20" i="6" s="1"/>
  <c r="B5" i="4"/>
  <c r="B4" i="4"/>
  <c r="M47" i="3"/>
  <c r="M42" i="3"/>
  <c r="M43" i="3" s="1"/>
  <c r="M41" i="3"/>
  <c r="M40" i="3"/>
  <c r="M39" i="3"/>
  <c r="M38" i="3"/>
  <c r="M37" i="3"/>
  <c r="M36" i="3"/>
  <c r="L47" i="3"/>
  <c r="L42" i="3"/>
  <c r="L41" i="3"/>
  <c r="L40" i="3"/>
  <c r="L43" i="3" s="1"/>
  <c r="L39" i="3"/>
  <c r="L38" i="3"/>
  <c r="L37" i="3"/>
  <c r="L36" i="3"/>
  <c r="K47" i="3"/>
  <c r="K42" i="3"/>
  <c r="K41" i="3"/>
  <c r="K40" i="3"/>
  <c r="K39" i="3"/>
  <c r="K38" i="3"/>
  <c r="K37" i="3"/>
  <c r="K36" i="3"/>
  <c r="J47" i="3"/>
  <c r="J42" i="3"/>
  <c r="J41" i="3"/>
  <c r="J40" i="3"/>
  <c r="J39" i="3"/>
  <c r="J38" i="3"/>
  <c r="J37" i="3"/>
  <c r="J36" i="3"/>
  <c r="I47" i="3"/>
  <c r="I42" i="3"/>
  <c r="I41" i="3"/>
  <c r="I40" i="3"/>
  <c r="I39" i="3"/>
  <c r="I38" i="3"/>
  <c r="I37" i="3"/>
  <c r="I36" i="3"/>
  <c r="H47" i="3"/>
  <c r="H42" i="3"/>
  <c r="H41" i="3"/>
  <c r="H40" i="3"/>
  <c r="H43" i="3" s="1"/>
  <c r="H39" i="3"/>
  <c r="H38" i="3"/>
  <c r="H37" i="3"/>
  <c r="H36" i="3"/>
  <c r="G47" i="3"/>
  <c r="B41" i="4" s="1"/>
  <c r="G42" i="3"/>
  <c r="G41" i="3"/>
  <c r="G40" i="3"/>
  <c r="G39" i="3"/>
  <c r="G38" i="3"/>
  <c r="G37" i="3"/>
  <c r="G36" i="3"/>
  <c r="F47" i="3"/>
  <c r="F42" i="3"/>
  <c r="F41" i="3"/>
  <c r="F40" i="3"/>
  <c r="F39" i="3"/>
  <c r="F38" i="3"/>
  <c r="F37" i="3"/>
  <c r="F36" i="3"/>
  <c r="E47" i="3"/>
  <c r="E42" i="3"/>
  <c r="E43" i="3" s="1"/>
  <c r="E41" i="3"/>
  <c r="E40" i="3"/>
  <c r="E39" i="3"/>
  <c r="E38" i="3"/>
  <c r="E37" i="3"/>
  <c r="E36" i="3"/>
  <c r="D47" i="3"/>
  <c r="D42" i="3"/>
  <c r="D41" i="3"/>
  <c r="D40" i="3"/>
  <c r="D43" i="3" s="1"/>
  <c r="D39" i="3"/>
  <c r="D38" i="3"/>
  <c r="D37" i="3"/>
  <c r="D36" i="3"/>
  <c r="C47" i="3"/>
  <c r="C42" i="3"/>
  <c r="C41" i="3"/>
  <c r="C40" i="3"/>
  <c r="B34" i="4" s="1"/>
  <c r="C39" i="3"/>
  <c r="B33" i="4" s="1"/>
  <c r="C38" i="3"/>
  <c r="C37" i="3"/>
  <c r="C36" i="3"/>
  <c r="B47" i="3"/>
  <c r="B38" i="4"/>
  <c r="C38" i="4" s="1"/>
  <c r="D38" i="4" s="1"/>
  <c r="B42" i="3"/>
  <c r="B41" i="3"/>
  <c r="B40" i="3"/>
  <c r="B39" i="3"/>
  <c r="B38" i="3"/>
  <c r="B37" i="3"/>
  <c r="B31" i="4" s="1"/>
  <c r="B36" i="3"/>
  <c r="M6" i="3"/>
  <c r="M8" i="3" s="1"/>
  <c r="L6" i="3"/>
  <c r="L8" i="3" s="1"/>
  <c r="K6" i="3"/>
  <c r="K8" i="3" s="1"/>
  <c r="J6" i="3"/>
  <c r="J8" i="3" s="1"/>
  <c r="I6" i="3"/>
  <c r="I8" i="3" s="1"/>
  <c r="H6" i="3"/>
  <c r="H8" i="3" s="1"/>
  <c r="G6" i="3"/>
  <c r="G8" i="3" s="1"/>
  <c r="F6" i="3"/>
  <c r="F8" i="3" s="1"/>
  <c r="E6" i="3"/>
  <c r="E8" i="3" s="1"/>
  <c r="D6" i="3"/>
  <c r="D8" i="3" s="1"/>
  <c r="C6" i="3"/>
  <c r="B12" i="3"/>
  <c r="C12" i="3" s="1"/>
  <c r="D12" i="3" s="1"/>
  <c r="E12" i="3" s="1"/>
  <c r="F12" i="3" s="1"/>
  <c r="G12" i="3" s="1"/>
  <c r="H12" i="3" s="1"/>
  <c r="I12" i="3" s="1"/>
  <c r="J12" i="3" s="1"/>
  <c r="K12" i="3" s="1"/>
  <c r="L12" i="3" s="1"/>
  <c r="M12" i="3" s="1"/>
  <c r="B10" i="3"/>
  <c r="B11" i="3" s="1"/>
  <c r="B13" i="3" s="1"/>
  <c r="B15" i="3" s="1"/>
  <c r="B16" i="3" s="1"/>
  <c r="B6" i="3"/>
  <c r="B8" i="3" s="1"/>
  <c r="B67" i="6" l="1"/>
  <c r="B18" i="5"/>
  <c r="C37" i="4"/>
  <c r="D37" i="4"/>
  <c r="B46" i="3"/>
  <c r="B14" i="3"/>
  <c r="B27" i="3" s="1"/>
  <c r="B32" i="4"/>
  <c r="J43" i="3"/>
  <c r="C8" i="3"/>
  <c r="C7" i="3"/>
  <c r="C21" i="3" s="1"/>
  <c r="B35" i="4"/>
  <c r="B36" i="4"/>
  <c r="F43" i="3"/>
  <c r="B43" i="3"/>
  <c r="B30" i="4"/>
  <c r="G43" i="3"/>
  <c r="B7" i="3"/>
  <c r="B21" i="3" s="1"/>
  <c r="C43" i="3"/>
  <c r="I43" i="3"/>
  <c r="B19" i="6"/>
  <c r="C4" i="4"/>
  <c r="D4" i="4" s="1"/>
  <c r="D19" i="6" s="1"/>
  <c r="K43" i="3"/>
  <c r="D7" i="3"/>
  <c r="D21" i="3" s="1"/>
  <c r="E7" i="3"/>
  <c r="E21" i="3" s="1"/>
  <c r="F7" i="3"/>
  <c r="F21" i="3" s="1"/>
  <c r="G7" i="3"/>
  <c r="G21" i="3" s="1"/>
  <c r="H7" i="3"/>
  <c r="H21" i="3" s="1"/>
  <c r="I7" i="3"/>
  <c r="I21" i="3" s="1"/>
  <c r="J7" i="3"/>
  <c r="J21" i="3" s="1"/>
  <c r="K7" i="3"/>
  <c r="K21" i="3" s="1"/>
  <c r="L7" i="3"/>
  <c r="L21" i="3" s="1"/>
  <c r="M7" i="3"/>
  <c r="M21" i="3" s="1"/>
  <c r="C10" i="3"/>
  <c r="C9" i="4"/>
  <c r="D9" i="4" s="1"/>
  <c r="E33" i="6"/>
  <c r="F33" i="6" s="1"/>
  <c r="B31" i="6"/>
  <c r="C31" i="6" s="1"/>
  <c r="D31" i="6" s="1"/>
  <c r="B59" i="4"/>
  <c r="C59" i="4" s="1"/>
  <c r="D59" i="4" s="1"/>
  <c r="B18" i="3"/>
  <c r="B26" i="3"/>
  <c r="B17" i="3"/>
  <c r="B22" i="3" s="1"/>
  <c r="C32" i="6"/>
  <c r="D32" i="6" s="1"/>
  <c r="E32" i="6" s="1"/>
  <c r="F32" i="6" s="1"/>
  <c r="C19" i="6" l="1"/>
  <c r="C41" i="4"/>
  <c r="B28" i="3"/>
  <c r="B71" i="6"/>
  <c r="D5" i="4"/>
  <c r="D15" i="4" s="1"/>
  <c r="D41" i="4"/>
  <c r="B15" i="4"/>
  <c r="B10" i="7" s="1"/>
  <c r="B37" i="4"/>
  <c r="D20" i="6"/>
  <c r="C20" i="6"/>
  <c r="D10" i="3"/>
  <c r="C11" i="3"/>
  <c r="C13" i="3" s="1"/>
  <c r="C5" i="4"/>
  <c r="C15" i="4" s="1"/>
  <c r="E31" i="6"/>
  <c r="F31" i="6" s="1"/>
  <c r="B30" i="3"/>
  <c r="B23" i="3"/>
  <c r="B49" i="3" l="1"/>
  <c r="C15" i="3"/>
  <c r="C14" i="3"/>
  <c r="D11" i="3"/>
  <c r="D13" i="3" s="1"/>
  <c r="D15" i="3" s="1"/>
  <c r="D46" i="3" s="1"/>
  <c r="E10" i="3"/>
  <c r="B29" i="3"/>
  <c r="B43" i="6"/>
  <c r="D52" i="6" s="1"/>
  <c r="B42" i="6"/>
  <c r="B41" i="6"/>
  <c r="C16" i="3" l="1"/>
  <c r="C26" i="3"/>
  <c r="D16" i="3"/>
  <c r="C17" i="3"/>
  <c r="C22" i="3" s="1"/>
  <c r="E11" i="3"/>
  <c r="E13" i="3" s="1"/>
  <c r="E15" i="3" s="1"/>
  <c r="E46" i="3" s="1"/>
  <c r="F10" i="3"/>
  <c r="C27" i="3"/>
  <c r="D14" i="3"/>
  <c r="C18" i="3"/>
  <c r="C52" i="6"/>
  <c r="B52" i="6"/>
  <c r="B31" i="3"/>
  <c r="B32" i="3" s="1"/>
  <c r="D50" i="6"/>
  <c r="D56" i="6" s="1"/>
  <c r="C50" i="6"/>
  <c r="C56" i="6" s="1"/>
  <c r="B50" i="6"/>
  <c r="B56" i="6" s="1"/>
  <c r="B51" i="6"/>
  <c r="C51" i="6"/>
  <c r="D51" i="6"/>
  <c r="C28" i="3" l="1"/>
  <c r="C46" i="3"/>
  <c r="C49" i="3"/>
  <c r="F46" i="3"/>
  <c r="F11" i="3"/>
  <c r="F13" i="3" s="1"/>
  <c r="F15" i="3" s="1"/>
  <c r="G10" i="3"/>
  <c r="C23" i="3"/>
  <c r="C29" i="3" s="1"/>
  <c r="C30" i="3"/>
  <c r="D26" i="3"/>
  <c r="E16" i="3"/>
  <c r="D17" i="3"/>
  <c r="D22" i="3" s="1"/>
  <c r="E14" i="3"/>
  <c r="D27" i="3"/>
  <c r="D18" i="3"/>
  <c r="B51" i="3"/>
  <c r="B54" i="3" s="1"/>
  <c r="B33" i="3"/>
  <c r="D55" i="6"/>
  <c r="D54" i="6"/>
  <c r="C55" i="6"/>
  <c r="C54" i="6"/>
  <c r="B55" i="6"/>
  <c r="B54" i="6"/>
  <c r="D28" i="3" l="1"/>
  <c r="D49" i="3"/>
  <c r="G46" i="3"/>
  <c r="C31" i="3"/>
  <c r="C32" i="3" s="1"/>
  <c r="C51" i="3" s="1"/>
  <c r="C54" i="3" s="1"/>
  <c r="E27" i="3"/>
  <c r="F14" i="3"/>
  <c r="E18" i="3"/>
  <c r="G11" i="3"/>
  <c r="G13" i="3" s="1"/>
  <c r="G15" i="3" s="1"/>
  <c r="H10" i="3"/>
  <c r="D30" i="3"/>
  <c r="D23" i="3"/>
  <c r="D29" i="3" s="1"/>
  <c r="D31" i="3" s="1"/>
  <c r="D32" i="3" s="1"/>
  <c r="F16" i="3"/>
  <c r="E17" i="3"/>
  <c r="E22" i="3" s="1"/>
  <c r="E26" i="3"/>
  <c r="B55" i="3"/>
  <c r="E28" i="3" l="1"/>
  <c r="C33" i="3"/>
  <c r="H11" i="3"/>
  <c r="H13" i="3" s="1"/>
  <c r="H15" i="3" s="1"/>
  <c r="H46" i="3" s="1"/>
  <c r="I10" i="3"/>
  <c r="E30" i="3"/>
  <c r="E23" i="3"/>
  <c r="E29" i="3" s="1"/>
  <c r="E31" i="3" s="1"/>
  <c r="E32" i="3" s="1"/>
  <c r="F26" i="3"/>
  <c r="F17" i="3"/>
  <c r="F22" i="3" s="1"/>
  <c r="G16" i="3"/>
  <c r="G14" i="3"/>
  <c r="F27" i="3"/>
  <c r="F18" i="3"/>
  <c r="C55" i="3"/>
  <c r="B57" i="3"/>
  <c r="B56" i="3"/>
  <c r="D51" i="3"/>
  <c r="D54" i="3" s="1"/>
  <c r="D33" i="3"/>
  <c r="F28" i="3" l="1"/>
  <c r="F49" i="3"/>
  <c r="E49" i="3"/>
  <c r="E51" i="3" s="1"/>
  <c r="E54" i="3" s="1"/>
  <c r="I11" i="3"/>
  <c r="I13" i="3" s="1"/>
  <c r="I15" i="3" s="1"/>
  <c r="I46" i="3" s="1"/>
  <c r="J10" i="3"/>
  <c r="G17" i="3"/>
  <c r="G22" i="3" s="1"/>
  <c r="H16" i="3"/>
  <c r="G26" i="3"/>
  <c r="F30" i="3"/>
  <c r="F23" i="3"/>
  <c r="F29" i="3" s="1"/>
  <c r="G27" i="3"/>
  <c r="H14" i="3"/>
  <c r="G18" i="3"/>
  <c r="E33" i="3"/>
  <c r="C57" i="3"/>
  <c r="D55" i="3"/>
  <c r="C56" i="3"/>
  <c r="G28" i="3" l="1"/>
  <c r="F31" i="3"/>
  <c r="F32" i="3" s="1"/>
  <c r="F33" i="3" s="1"/>
  <c r="H26" i="3"/>
  <c r="I16" i="3"/>
  <c r="H17" i="3"/>
  <c r="H22" i="3" s="1"/>
  <c r="G30" i="3"/>
  <c r="G23" i="3"/>
  <c r="G29" i="3" s="1"/>
  <c r="G31" i="3" s="1"/>
  <c r="G32" i="3" s="1"/>
  <c r="H27" i="3"/>
  <c r="I14" i="3"/>
  <c r="H18" i="3"/>
  <c r="J11" i="3"/>
  <c r="J13" i="3" s="1"/>
  <c r="J15" i="3" s="1"/>
  <c r="J46" i="3" s="1"/>
  <c r="K10" i="3"/>
  <c r="E55" i="3"/>
  <c r="D57" i="3"/>
  <c r="D56" i="3"/>
  <c r="H28" i="3" l="1"/>
  <c r="H49" i="3"/>
  <c r="H51" i="3" s="1"/>
  <c r="H54" i="3" s="1"/>
  <c r="F51" i="3"/>
  <c r="F54" i="3" s="1"/>
  <c r="F55" i="3" s="1"/>
  <c r="F56" i="3" s="1"/>
  <c r="G49" i="3"/>
  <c r="G51" i="3" s="1"/>
  <c r="G54" i="3" s="1"/>
  <c r="G33" i="3"/>
  <c r="H30" i="3"/>
  <c r="H23" i="3"/>
  <c r="H29" i="3" s="1"/>
  <c r="H31" i="3" s="1"/>
  <c r="H32" i="3" s="1"/>
  <c r="J16" i="3"/>
  <c r="I17" i="3"/>
  <c r="I22" i="3" s="1"/>
  <c r="I26" i="3"/>
  <c r="K11" i="3"/>
  <c r="K13" i="3" s="1"/>
  <c r="K15" i="3" s="1"/>
  <c r="K46" i="3" s="1"/>
  <c r="L10" i="3"/>
  <c r="J14" i="3"/>
  <c r="I27" i="3"/>
  <c r="I18" i="3"/>
  <c r="E57" i="3"/>
  <c r="E56" i="3"/>
  <c r="I28" i="3" l="1"/>
  <c r="I49" i="3"/>
  <c r="I23" i="3"/>
  <c r="I29" i="3" s="1"/>
  <c r="I30" i="3"/>
  <c r="K14" i="3"/>
  <c r="J27" i="3"/>
  <c r="J18" i="3"/>
  <c r="K16" i="3"/>
  <c r="J17" i="3"/>
  <c r="J22" i="3" s="1"/>
  <c r="J26" i="3"/>
  <c r="L11" i="3"/>
  <c r="L13" i="3" s="1"/>
  <c r="L15" i="3" s="1"/>
  <c r="L46" i="3" s="1"/>
  <c r="M10" i="3"/>
  <c r="H33" i="3"/>
  <c r="G55" i="3"/>
  <c r="F57" i="3"/>
  <c r="J28" i="3" l="1"/>
  <c r="J49" i="3"/>
  <c r="L16" i="3"/>
  <c r="K26" i="3"/>
  <c r="K17" i="3"/>
  <c r="K22" i="3" s="1"/>
  <c r="M11" i="3"/>
  <c r="M13" i="3" s="1"/>
  <c r="M15" i="3" s="1"/>
  <c r="M46" i="3" s="1"/>
  <c r="K27" i="3"/>
  <c r="L14" i="3"/>
  <c r="K18" i="3"/>
  <c r="I31" i="3"/>
  <c r="I32" i="3" s="1"/>
  <c r="I51" i="3" s="1"/>
  <c r="I54" i="3" s="1"/>
  <c r="J30" i="3"/>
  <c r="J23" i="3"/>
  <c r="J29" i="3" s="1"/>
  <c r="J31" i="3" s="1"/>
  <c r="J32" i="3" s="1"/>
  <c r="J51" i="3" s="1"/>
  <c r="J54" i="3" s="1"/>
  <c r="G57" i="3"/>
  <c r="H55" i="3"/>
  <c r="G56" i="3"/>
  <c r="K28" i="3" l="1"/>
  <c r="K49" i="3"/>
  <c r="J33" i="3"/>
  <c r="B39" i="4"/>
  <c r="I33" i="3"/>
  <c r="K23" i="3"/>
  <c r="K29" i="3" s="1"/>
  <c r="K30" i="3"/>
  <c r="M14" i="3"/>
  <c r="L27" i="3"/>
  <c r="L18" i="3"/>
  <c r="L26" i="3"/>
  <c r="L17" i="3"/>
  <c r="L22" i="3" s="1"/>
  <c r="M16" i="3"/>
  <c r="I55" i="3"/>
  <c r="H57" i="3"/>
  <c r="H56" i="3"/>
  <c r="L28" i="3" l="1"/>
  <c r="L49" i="3"/>
  <c r="L30" i="3"/>
  <c r="L23" i="3"/>
  <c r="L29" i="3" s="1"/>
  <c r="L31" i="3" s="1"/>
  <c r="L32" i="3" s="1"/>
  <c r="B7" i="4"/>
  <c r="C7" i="4" s="1"/>
  <c r="D7" i="4" s="1"/>
  <c r="M27" i="3"/>
  <c r="M18" i="3"/>
  <c r="M17" i="3"/>
  <c r="M22" i="3" s="1"/>
  <c r="M26" i="3"/>
  <c r="B21" i="4" s="1"/>
  <c r="B6" i="4"/>
  <c r="K31" i="3"/>
  <c r="K32" i="3" s="1"/>
  <c r="B40" i="4"/>
  <c r="L51" i="3"/>
  <c r="L54" i="3" s="1"/>
  <c r="L33" i="3"/>
  <c r="J55" i="3"/>
  <c r="I57" i="3"/>
  <c r="I56" i="3"/>
  <c r="M28" i="3" l="1"/>
  <c r="B22" i="4" s="1"/>
  <c r="B18" i="6"/>
  <c r="C6" i="4"/>
  <c r="B8" i="4"/>
  <c r="B17" i="6" s="1"/>
  <c r="B16" i="4"/>
  <c r="M23" i="3"/>
  <c r="M30" i="3"/>
  <c r="B24" i="4" s="1"/>
  <c r="K51" i="3"/>
  <c r="K54" i="3" s="1"/>
  <c r="K55" i="3" s="1"/>
  <c r="K33" i="3"/>
  <c r="J57" i="3"/>
  <c r="J56" i="3"/>
  <c r="B42" i="4" l="1"/>
  <c r="B43" i="4" s="1"/>
  <c r="B7" i="5" s="1"/>
  <c r="M49" i="3"/>
  <c r="B17" i="4"/>
  <c r="B11" i="7"/>
  <c r="B47" i="4"/>
  <c r="B16" i="6" s="1"/>
  <c r="M29" i="3"/>
  <c r="C21" i="4"/>
  <c r="C22" i="4"/>
  <c r="D6" i="4"/>
  <c r="C16" i="4"/>
  <c r="C17" i="4" s="1"/>
  <c r="C39" i="4" s="1"/>
  <c r="C8" i="4"/>
  <c r="C18" i="6"/>
  <c r="K57" i="3"/>
  <c r="L55" i="3"/>
  <c r="K56" i="3"/>
  <c r="B8" i="5" l="1"/>
  <c r="C6" i="5"/>
  <c r="B6" i="5"/>
  <c r="C8" i="5"/>
  <c r="C17" i="6"/>
  <c r="C42" i="4"/>
  <c r="D16" i="4"/>
  <c r="D17" i="4" s="1"/>
  <c r="D18" i="6"/>
  <c r="B73" i="6"/>
  <c r="D21" i="4"/>
  <c r="D22" i="4"/>
  <c r="D8" i="4"/>
  <c r="C23" i="4"/>
  <c r="C24" i="4"/>
  <c r="C51" i="4"/>
  <c r="C21" i="6" s="1"/>
  <c r="C40" i="4"/>
  <c r="C47" i="4"/>
  <c r="C16" i="6" s="1"/>
  <c r="C18" i="4"/>
  <c r="C13" i="6" s="1"/>
  <c r="C12" i="6"/>
  <c r="B23" i="4"/>
  <c r="B25" i="4" s="1"/>
  <c r="B26" i="4" s="1"/>
  <c r="M31" i="3"/>
  <c r="M32" i="3" s="1"/>
  <c r="B21" i="7"/>
  <c r="D30" i="7"/>
  <c r="H34" i="7"/>
  <c r="H21" i="7"/>
  <c r="C33" i="7"/>
  <c r="B35" i="7"/>
  <c r="H19" i="7"/>
  <c r="C29" i="7"/>
  <c r="H35" i="7"/>
  <c r="G20" i="7"/>
  <c r="D32" i="7"/>
  <c r="C20" i="7"/>
  <c r="E30" i="7"/>
  <c r="G33" i="7"/>
  <c r="F18" i="7"/>
  <c r="D31" i="7"/>
  <c r="C16" i="7"/>
  <c r="D34" i="7"/>
  <c r="C31" i="7"/>
  <c r="B16" i="7"/>
  <c r="C34" i="7"/>
  <c r="B19" i="7"/>
  <c r="G31" i="7"/>
  <c r="F22" i="7"/>
  <c r="F32" i="7"/>
  <c r="C30" i="7"/>
  <c r="F35" i="7"/>
  <c r="B32" i="7"/>
  <c r="B30" i="7"/>
  <c r="E34" i="7"/>
  <c r="B33" i="7"/>
  <c r="H17" i="7"/>
  <c r="B20" i="7"/>
  <c r="D22" i="7"/>
  <c r="H33" i="7"/>
  <c r="G18" i="7"/>
  <c r="B22" i="7"/>
  <c r="G34" i="7"/>
  <c r="F19" i="7"/>
  <c r="E20" i="7"/>
  <c r="F34" i="7"/>
  <c r="E19" i="7"/>
  <c r="D19" i="7"/>
  <c r="E22" i="7"/>
  <c r="H32" i="7"/>
  <c r="B18" i="7"/>
  <c r="F16" i="7"/>
  <c r="H20" i="7"/>
  <c r="F33" i="7"/>
  <c r="E18" i="7"/>
  <c r="C18" i="7"/>
  <c r="E33" i="7"/>
  <c r="D18" i="7"/>
  <c r="E35" i="7"/>
  <c r="D21" i="7"/>
  <c r="D20" i="7"/>
  <c r="H16" i="7"/>
  <c r="G32" i="7"/>
  <c r="F17" i="7"/>
  <c r="F31" i="7"/>
  <c r="G19" i="7"/>
  <c r="D17" i="7"/>
  <c r="C17" i="7"/>
  <c r="H18" i="7"/>
  <c r="D29" i="7"/>
  <c r="E17" i="7"/>
  <c r="C22" i="7"/>
  <c r="E31" i="7"/>
  <c r="D16" i="7"/>
  <c r="B29" i="7"/>
  <c r="C32" i="7"/>
  <c r="H30" i="7"/>
  <c r="H22" i="7"/>
  <c r="D33" i="7"/>
  <c r="H31" i="7"/>
  <c r="G16" i="7"/>
  <c r="F30" i="7"/>
  <c r="G17" i="7"/>
  <c r="H29" i="7"/>
  <c r="G29" i="7"/>
  <c r="G21" i="7"/>
  <c r="B31" i="7"/>
  <c r="G30" i="7"/>
  <c r="C35" i="7"/>
  <c r="C19" i="7"/>
  <c r="G22" i="7"/>
  <c r="G35" i="7"/>
  <c r="F20" i="7"/>
  <c r="F21" i="7"/>
  <c r="F29" i="7"/>
  <c r="B34" i="7"/>
  <c r="E29" i="7"/>
  <c r="C21" i="7"/>
  <c r="E16" i="7"/>
  <c r="E32" i="7"/>
  <c r="B17" i="7"/>
  <c r="D35" i="7"/>
  <c r="E21" i="7"/>
  <c r="B12" i="7"/>
  <c r="B51" i="4"/>
  <c r="B21" i="6" s="1"/>
  <c r="B12" i="6"/>
  <c r="L57" i="3"/>
  <c r="L56" i="3"/>
  <c r="D39" i="4" l="1"/>
  <c r="D8" i="5"/>
  <c r="D6" i="5"/>
  <c r="C43" i="4"/>
  <c r="C7" i="5" s="1"/>
  <c r="D17" i="6"/>
  <c r="D42" i="4"/>
  <c r="B45" i="4"/>
  <c r="B27" i="4"/>
  <c r="B14" i="6" s="1"/>
  <c r="M51" i="3"/>
  <c r="M54" i="3" s="1"/>
  <c r="M55" i="3" s="1"/>
  <c r="M57" i="3" s="1"/>
  <c r="M33" i="3"/>
  <c r="C25" i="4"/>
  <c r="C26" i="4" s="1"/>
  <c r="D40" i="4"/>
  <c r="B77" i="6"/>
  <c r="D12" i="6"/>
  <c r="D24" i="4"/>
  <c r="D18" i="4"/>
  <c r="D13" i="6" s="1"/>
  <c r="D23" i="4"/>
  <c r="D47" i="4"/>
  <c r="D16" i="6" s="1"/>
  <c r="D51" i="4"/>
  <c r="D21" i="6" s="1"/>
  <c r="D43" i="4" l="1"/>
  <c r="D7" i="5" s="1"/>
  <c r="M56" i="3"/>
  <c r="D25" i="4"/>
  <c r="D26" i="4" s="1"/>
  <c r="D27" i="4" s="1"/>
  <c r="D14" i="6" s="1"/>
  <c r="C45" i="4"/>
  <c r="C27" i="4"/>
  <c r="C14" i="6" s="1"/>
  <c r="B4" i="5"/>
  <c r="B9" i="5" s="1"/>
  <c r="B20" i="5" s="1"/>
  <c r="B23" i="5" s="1"/>
  <c r="C22" i="5" s="1"/>
  <c r="B78" i="6"/>
  <c r="B48" i="4"/>
  <c r="B15" i="6"/>
  <c r="B56" i="4"/>
  <c r="B57" i="4" s="1"/>
  <c r="C55" i="4" s="1"/>
  <c r="D45" i="4" l="1"/>
  <c r="B58" i="4"/>
  <c r="B26" i="5"/>
  <c r="C4" i="5"/>
  <c r="C9" i="5" s="1"/>
  <c r="C20" i="5" s="1"/>
  <c r="C23" i="5" s="1"/>
  <c r="D22" i="5" s="1"/>
  <c r="C15" i="6"/>
  <c r="C48" i="4"/>
  <c r="C56" i="4"/>
  <c r="C57" i="4" s="1"/>
  <c r="D55" i="4" s="1"/>
  <c r="D56" i="4" l="1"/>
  <c r="D15" i="6"/>
  <c r="D4" i="5"/>
  <c r="D9" i="5" s="1"/>
  <c r="D20" i="5" s="1"/>
  <c r="D23" i="5" s="1"/>
  <c r="B79" i="6"/>
  <c r="D48" i="4"/>
  <c r="D57" i="4"/>
  <c r="B27" i="5"/>
  <c r="B28" i="5"/>
  <c r="C58" i="4"/>
  <c r="C26" i="5"/>
  <c r="D26" i="5" l="1"/>
  <c r="D58" i="4"/>
  <c r="D28" i="5"/>
  <c r="C27" i="5"/>
  <c r="C28" i="5"/>
  <c r="D27" i="5" l="1"/>
</calcChain>
</file>

<file path=xl/sharedStrings.xml><?xml version="1.0" encoding="utf-8"?>
<sst xmlns="http://schemas.openxmlformats.org/spreadsheetml/2006/main" count="585" uniqueCount="478">
  <si>
    <t>HeyLily — Global Assumptions &amp; Drivers</t>
  </si>
  <si>
    <t>Assumption</t>
  </si>
  <si>
    <t>Value</t>
  </si>
  <si>
    <t>Unit</t>
  </si>
  <si>
    <t>Reasonableness Justification</t>
  </si>
  <si>
    <t>1. CUSTOMER ACQUISITION</t>
  </si>
  <si>
    <t>residents</t>
  </si>
  <si>
    <t>%</t>
  </si>
  <si>
    <t>$</t>
  </si>
  <si>
    <t xml:space="preserve">  D2C launch month</t>
  </si>
  <si>
    <t>month #</t>
  </si>
  <si>
    <t>% MoM</t>
  </si>
  <si>
    <t>$/mo</t>
  </si>
  <si>
    <t>$/yr</t>
  </si>
  <si>
    <t>COGS / Variable Costs</t>
  </si>
  <si>
    <t>$/sub/mo</t>
  </si>
  <si>
    <t xml:space="preserve">  Payment processing (% of revenue)</t>
  </si>
  <si>
    <t>Retention &amp; Churn</t>
  </si>
  <si>
    <t>% /mo</t>
  </si>
  <si>
    <t>months</t>
  </si>
  <si>
    <t>3. OPERATING EXPENSES</t>
  </si>
  <si>
    <t>Headcount &amp; Compensation</t>
  </si>
  <si>
    <t xml:space="preserve">  Founder salary (each, monthly)</t>
  </si>
  <si>
    <t xml:space="preserve">  Number of founders</t>
  </si>
  <si>
    <t>people</t>
  </si>
  <si>
    <t xml:space="preserve">  Engineer salary (each, monthly)</t>
  </si>
  <si>
    <t xml:space="preserve">  Number of engineers (launch)</t>
  </si>
  <si>
    <t xml:space="preserve">  BD/Sales rep salary (monthly)</t>
  </si>
  <si>
    <t>Fixed Operating Costs</t>
  </si>
  <si>
    <t xml:space="preserve">  Cloud infrastructure (base monthly)</t>
  </si>
  <si>
    <t xml:space="preserve">  Software tools &amp; subscriptions</t>
  </si>
  <si>
    <t xml:space="preserve">  Legal &amp; compliance</t>
  </si>
  <si>
    <t>4. CAPITAL REQUIREMENTS</t>
  </si>
  <si>
    <t xml:space="preserve">  Seed funding raised</t>
  </si>
  <si>
    <t xml:space="preserve">  One-time setup costs (Month 0)</t>
  </si>
  <si>
    <t xml:space="preserve">  Minimum cash reserve</t>
  </si>
  <si>
    <t>$ calc</t>
  </si>
  <si>
    <t>5. YEAR 2-3 GROWTH ASSUMPTIONS</t>
  </si>
  <si>
    <t>x YoY</t>
  </si>
  <si>
    <t xml:space="preserve">  Year 2 headcount additions</t>
  </si>
  <si>
    <t>FTEs</t>
  </si>
  <si>
    <t xml:space="preserve">  Year 3 headcount additions</t>
  </si>
  <si>
    <t>B2B Community Lease Channel (ALH)</t>
  </si>
  <si>
    <t xml:space="preserve">  ALH communities signed (Month 1)</t>
  </si>
  <si>
    <t>communities</t>
  </si>
  <si>
    <t xml:space="preserve">  Avg. residents per community</t>
  </si>
  <si>
    <t xml:space="preserve">  Community lease rate per resident/mo</t>
  </si>
  <si>
    <t>$/res/mo</t>
  </si>
  <si>
    <t xml:space="preserve">  B2B CAC per community</t>
  </si>
  <si>
    <t>$/comm.</t>
  </si>
  <si>
    <t>D2C Freemium Funnel</t>
  </si>
  <si>
    <t xml:space="preserve">  Free tier signups (launch month)</t>
  </si>
  <si>
    <t>users</t>
  </si>
  <si>
    <t xml:space="preserve">  Free tier MoM signup growth rate</t>
  </si>
  <si>
    <t>30% MoM new free signups. Freemium apps with viral/referral loops (caregiver tells siblings/friends) typically see 25-40% MoM early growth. 'Soft Landing' retention of free users creates word-of-mouth engine.</t>
  </si>
  <si>
    <t xml:space="preserve">  Free → Paid conversion rate</t>
  </si>
  <si>
    <t xml:space="preserve">  D2C CAC per free signup</t>
  </si>
  <si>
    <t>$/signup</t>
  </si>
  <si>
    <t xml:space="preserve">  Paid tier mix: Protected plan</t>
  </si>
  <si>
    <t>70% of paid converters choose Protected ($109/yr). Individual plan is default conversion path. Family plan requires coordinating 4 accounts — higher friction but higher value. Mix shifts toward Family over time as product awareness grows.</t>
  </si>
  <si>
    <t xml:space="preserve">  Paid tier mix: Family plan</t>
  </si>
  <si>
    <t>30% choose Family plan ($240/yr, covers 4 accounts). 'Sandwich Generation' caregiver installs for both parents + in-laws. Per-person cost is $5/mo vs. $9.08/mo Protected — strong value prop drives family adoption.</t>
  </si>
  <si>
    <t>2. UNIT ECONOMICS &amp; PRICING</t>
  </si>
  <si>
    <t>Pricing Tiers</t>
  </si>
  <si>
    <t xml:space="preserve">  Free Tier: monthly revenue</t>
  </si>
  <si>
    <t>Auto-blocking + Trust Circle. No revenue. Purpose: (1) build trust before upsell, (2) create word-of-mouth, (3) 'Soft Landing' for expired trials retains users in ecosystem vs. full churn.</t>
  </si>
  <si>
    <t xml:space="preserve">  Protected Tier: annual price</t>
  </si>
  <si>
    <t>$109/yr ($9.08/mo effective). Mid-point of $99-$119 range. AI Voice Screener + $10K Stolen Funds Reimbursement. Benchmarks: Robokiller $4.99/mo, Life360 $14.99/mo, Norton LifeLock $9.99/mo. $109 justified by reimbursement hook.</t>
  </si>
  <si>
    <t xml:space="preserve">  Protected Tier: effective monthly</t>
  </si>
  <si>
    <t>Calculated: Annual price / 12. Revenue recognized monthly on straight-line basis.</t>
  </si>
  <si>
    <t xml:space="preserve">  Family Tier: annual price</t>
  </si>
  <si>
    <t>$240/yr covers 4 accounts = $5/person/mo. 45% discount vs. individual Protected. Targets 'Sandwich Generation' caregivers managing parents + in-laws. Family plans drive 2-4x retention vs. individual (Spotify/Netflix data).</t>
  </si>
  <si>
    <t xml:space="preserve">  Family Tier: effective monthly</t>
  </si>
  <si>
    <t>Calculated: Annual price / 12. Single subscription covering 4 protected individuals.</t>
  </si>
  <si>
    <t xml:space="preserve">  D2C Blended ARPU (monthly)</t>
  </si>
  <si>
    <t xml:space="preserve">  D2C Blended ARPU (annual)</t>
  </si>
  <si>
    <t>$/sub/yr</t>
  </si>
  <si>
    <t>Calculated: Monthly ARPU × 12. Validates against ~$100/yr ARPU target. Note: B2B community lease revenue is separate and additive to overall blended ARPU.</t>
  </si>
  <si>
    <t xml:space="preserve">  AI compute cost per active user/mo</t>
  </si>
  <si>
    <t>$/user/mo</t>
  </si>
  <si>
    <t>Real-time voice analysis (Whisper + LLM inference). Avg elderly user: ~15 calls/mo, ~30% flagged (~5 calls). At $0.006/min Whisper + $0.03/call LLM, ~$0.17/analyzed call. 5 calls × $0.17 = $0.85. Free tier users have lighter compute (auto-block only, no AI screener).</t>
  </si>
  <si>
    <t xml:space="preserve">  Free tier compute cost (% of paid)</t>
  </si>
  <si>
    <t>Free tier only runs auto-blocking (pattern matching, no AI Voice Screener). Compute is ~25% of paid tier cost. Keeps free tier unit economics manageable while reserving expensive AI features for paid.</t>
  </si>
  <si>
    <t xml:space="preserve">  Telecom/VoIP API cost per user/mo</t>
  </si>
  <si>
    <t>Twilio/Vonage for call monitoring. ~15 calls/mo × 3 min avg = 45 min × $0.013/min = $0.59, plus SMS alerts to Trust Circle ~$0.06. Applies to all active users (free + paid).</t>
  </si>
  <si>
    <t>Stripe standard: 2.9% + $0.30/txn. On annual billing ($109-$240), the fixed fee impact is minimal (~0.3%). For B2B invoicing, may use ACH ($0.80 flat) — even lower.</t>
  </si>
  <si>
    <t xml:space="preserve">  Reimbursement reserve (% of paid rev)</t>
  </si>
  <si>
    <t>$10K coverage. Expected claim rate: &lt;0.5% of subscribers/yr (product should PREVENT scams). 2% of paid revenue reserved for potential claims + insurance premium for the reimbursement program. Benchmarks: identity theft insurance costs insurers ~1-3% of premium.</t>
  </si>
  <si>
    <t xml:space="preserve">  Paid subscriber monthly churn</t>
  </si>
  <si>
    <t xml:space="preserve">  Free tier monthly churn</t>
  </si>
  <si>
    <t xml:space="preserve">  Implied paid subscriber lifetime</t>
  </si>
  <si>
    <t>1 CEO/BD (ALH sales, D2C strategy) + 1 CTO (product, AI/ML). Standard founding team for AI-first startup.</t>
  </si>
  <si>
    <t>1 backend/ML + 1 mobile/frontend. With CTO coding = 3 effective engineering FTEs. Sufficient for MVP + iteration.</t>
  </si>
  <si>
    <t xml:space="preserve">  BD/Sales hire month</t>
  </si>
  <si>
    <t>First BD hire at Mo 7 to scale ALH community lease pipeline. CEO has proven playbook by then. Delays hire to conserve early cash.</t>
  </si>
  <si>
    <t xml:space="preserve">  Payroll tax &amp; benefits burden</t>
  </si>
  <si>
    <t>20% burden: FICA (7.65%), state unemployment (~3%), health stipend (~8%), workers comp (~1.5%). Range: 18-25%.</t>
  </si>
  <si>
    <t>AWS/GCP base: compute, DB, storage, CDN. Early-stage &lt;500 users. Cloud credits not modeled (conservative).</t>
  </si>
  <si>
    <t>GitHub, Slack, Figma, Mixpanel, Intercom, Notion, compliance tools, misc. Standard stack for 4-6 person team.</t>
  </si>
  <si>
    <t>TCPA, wiretapping, HIPAA-adjacent. Higher than typical consumer app due to telecom/elder-care regulatory burden. Includes reimbursement program legal structure.</t>
  </si>
  <si>
    <t xml:space="preserve">  Insurance + office + misc G&amp;A</t>
  </si>
  <si>
    <t>GL + E&amp;O insurance ($500), co-working ($400). Remote-first team. Bundled for simplicity.</t>
  </si>
  <si>
    <t>Incorporation ($2K), legal/IP ($5K), branding ($1K), cloud setup ($2K), app store accounts ($500), security audit ($3K), misc ($1.5K).</t>
  </si>
  <si>
    <t xml:space="preserve">  Starting cash (net of setup)</t>
  </si>
  <si>
    <t xml:space="preserve">  Year 2 end-subscriber multiple (YoY)</t>
  </si>
  <si>
    <t xml:space="preserve">  Year 3 end-subscriber multiple (YoY)</t>
  </si>
  <si>
    <t xml:space="preserve">  Year 2 paid monthly churn</t>
  </si>
  <si>
    <t xml:space="preserve">  Year 3 paid monthly churn</t>
  </si>
  <si>
    <t xml:space="preserve">  Year 2 AI compute cost (x of Y1)</t>
  </si>
  <si>
    <t>multiplier</t>
  </si>
  <si>
    <t xml:space="preserve">  Year 3 AI compute cost (x of Y1)</t>
  </si>
  <si>
    <t xml:space="preserve">  Year 2 avg salary per new hire</t>
  </si>
  <si>
    <t xml:space="preserve">  Year 3 avg salary per new hire</t>
  </si>
  <si>
    <t xml:space="preserve">  Year 2 fixed OpEx growth</t>
  </si>
  <si>
    <t>% YoY</t>
  </si>
  <si>
    <t xml:space="preserve">  Year 3 fixed OpEx growth</t>
  </si>
  <si>
    <t>6. KEY METRIC VALIDATION</t>
  </si>
  <si>
    <t xml:space="preserve">  D2C LTV (paid subscriber)</t>
  </si>
  <si>
    <t>Calculated: Avg lifetime (months) × Monthly ARPU. Gross revenue LTV before COGS.</t>
  </si>
  <si>
    <t xml:space="preserve">  D2C effective CAC (per paid sub)</t>
  </si>
  <si>
    <t xml:space="preserve">  D2C LTV:CAC ratio</t>
  </si>
  <si>
    <t>ratio</t>
  </si>
  <si>
    <t>TARGET: ≥ 3.0x. This is gross LTV:CAC. Best-in-class SaaS targets 3-5x. Validates unit economics sustainability for D2C channel.</t>
  </si>
  <si>
    <t xml:space="preserve">  B2B LTV per community (annual)</t>
  </si>
  <si>
    <t xml:space="preserve">  B2B LTV:CAC ratio (Year 1 only)</t>
  </si>
  <si>
    <t xml:space="preserve">  Blended ARPU validation (annual)</t>
  </si>
  <si>
    <t>See Tab 2</t>
  </si>
  <si>
    <t xml:space="preserve">  CAC payback period (D2C)</t>
  </si>
  <si>
    <t>Calculated: Effective CAC / Monthly ARPU. Months to recover acquisition cost from subscription revenue. Target: &lt;12 months.</t>
  </si>
  <si>
    <t>HeyLily — 12-Month Detailed Projections</t>
  </si>
  <si>
    <t>Month 1</t>
  </si>
  <si>
    <t>Month 2</t>
  </si>
  <si>
    <t>Month 3</t>
  </si>
  <si>
    <t>Month 4</t>
  </si>
  <si>
    <t>Month 5</t>
  </si>
  <si>
    <t>Month 6</t>
  </si>
  <si>
    <t>Month 7</t>
  </si>
  <si>
    <t>Month 8</t>
  </si>
  <si>
    <t>Month 9</t>
  </si>
  <si>
    <t>Month 10</t>
  </si>
  <si>
    <t>Month 11</t>
  </si>
  <si>
    <t>Month 12</t>
  </si>
  <si>
    <t>Driving Assumption / Formula Logic</t>
  </si>
  <si>
    <t>SUBSCRIBER GROWTH</t>
  </si>
  <si>
    <t>B2B Community Lease</t>
  </si>
  <si>
    <t xml:space="preserve">  Cumulative communities</t>
  </si>
  <si>
    <t xml:space="preserve">  B2B monthly revenue</t>
  </si>
  <si>
    <t xml:space="preserve">  Cumulative free users</t>
  </si>
  <si>
    <t xml:space="preserve">  New paid conversions (monthly)</t>
  </si>
  <si>
    <t xml:space="preserve">  Cumulative D2C paid subs</t>
  </si>
  <si>
    <t xml:space="preserve">  D2C paid monthly revenue</t>
  </si>
  <si>
    <t xml:space="preserve">  Total active users (all tiers)</t>
  </si>
  <si>
    <t>INCOME STATEMENT</t>
  </si>
  <si>
    <t xml:space="preserve">  B2B community lease revenue</t>
  </si>
  <si>
    <t xml:space="preserve">  D2C paid subscription revenue</t>
  </si>
  <si>
    <t>Total Revenue</t>
  </si>
  <si>
    <t>Cost of Revenue (COGS)</t>
  </si>
  <si>
    <t xml:space="preserve">  AI compute (paid users)</t>
  </si>
  <si>
    <t xml:space="preserve">  AI compute (free users)</t>
  </si>
  <si>
    <t xml:space="preserve">  Telecom/VoIP API (all users)</t>
  </si>
  <si>
    <t xml:space="preserve">  Payment processing</t>
  </si>
  <si>
    <t xml:space="preserve">  Reimbursement reserve</t>
  </si>
  <si>
    <t>Total COGS</t>
  </si>
  <si>
    <t>Gross Profit</t>
  </si>
  <si>
    <t xml:space="preserve">  Gross Margin %</t>
  </si>
  <si>
    <t>Operating Expenses</t>
  </si>
  <si>
    <t xml:space="preserve">  Payroll tax &amp; benefits</t>
  </si>
  <si>
    <t>Total Operating Expenses</t>
  </si>
  <si>
    <t>EBITDA (Operating Loss)</t>
  </si>
  <si>
    <t>CASH BURN &amp; BALANCE</t>
  </si>
  <si>
    <t xml:space="preserve">  Monthly net burn</t>
  </si>
  <si>
    <t xml:space="preserve">  Cumulative cash balance</t>
  </si>
  <si>
    <t xml:space="preserve">  Months of runway remaining</t>
  </si>
  <si>
    <t xml:space="preserve">  Below minimum reserve?</t>
  </si>
  <si>
    <t>HeyLily — 3-Year Annual Summary</t>
  </si>
  <si>
    <t>Year 1</t>
  </si>
  <si>
    <t>Year 2</t>
  </si>
  <si>
    <t>Year 3</t>
  </si>
  <si>
    <t>KEY METRICS</t>
  </si>
  <si>
    <t xml:space="preserve">  B2B communities (end of year)</t>
  </si>
  <si>
    <t xml:space="preserve">  B2B covered residents (end of year)</t>
  </si>
  <si>
    <t xml:space="preserve">  D2C paid subscribers (end of year)</t>
  </si>
  <si>
    <t xml:space="preserve">  D2C free users (end of year)</t>
  </si>
  <si>
    <t xml:space="preserve">  Headcount (FTEs)</t>
  </si>
  <si>
    <t xml:space="preserve">  Paid monthly churn rate</t>
  </si>
  <si>
    <t xml:space="preserve">  LTV:CAC ratio (D2C)</t>
  </si>
  <si>
    <t xml:space="preserve">  Revenue growth (YoY)</t>
  </si>
  <si>
    <t>N/A</t>
  </si>
  <si>
    <t>EBITDA (Operating Income/Loss)</t>
  </si>
  <si>
    <t xml:space="preserve">  Annual Revenue Run-Rate (ARR)</t>
  </si>
  <si>
    <t xml:space="preserve">  Monthly Cash Burn (avg)</t>
  </si>
  <si>
    <t>$72K/yr base. Mid-level BD for healthcare SaaS. Appropriate for selling 'safety amenity' to ALH facility directors.</t>
  </si>
  <si>
    <t xml:space="preserve">  New communities added (see schedule)</t>
  </si>
  <si>
    <t>Accelerating</t>
  </si>
  <si>
    <t>schedule</t>
  </si>
  <si>
    <t xml:space="preserve">  ALH resident adoption rate</t>
  </si>
  <si>
    <t>2.0% = 78% annual retention = 50-month avg lifetime. Product is essential family utility. AI continuously improves scam detection (more data = better model). Best-in-class for consumer security category.</t>
  </si>
  <si>
    <t xml:space="preserve">  B2B total residents (lease base)</t>
  </si>
  <si>
    <t xml:space="preserve">  B2B active users (adopted)</t>
  </si>
  <si>
    <t>$90K/yr blended. Mix of intl engineers ($60-72K), domestic BD ($72-84K), CS/ops ($60K), marketing ($72K). Remote-first + equity comp offsets below-market cash. AI fluency is a hiring filter, not a nice-to-have.</t>
  </si>
  <si>
    <t>$102K/yr blended. Slightly more senior hires as team matures. More competitive comp needed as company reputation grows. Still 15-20% below Big Tech for comparable roles.</t>
  </si>
  <si>
    <t xml:space="preserve">  Revenue per employee</t>
  </si>
  <si>
    <t xml:space="preserve">  Funding source</t>
  </si>
  <si>
    <t>Series A</t>
  </si>
  <si>
    <t xml:space="preserve">  Capital raised</t>
  </si>
  <si>
    <t xml:space="preserve">  Beginning cash balance</t>
  </si>
  <si>
    <t xml:space="preserve">  Net cash flow (EBITDA)</t>
  </si>
  <si>
    <t xml:space="preserve">  Ending cash balance</t>
  </si>
  <si>
    <t xml:space="preserve">  Months of runway at current burn</t>
  </si>
  <si>
    <t xml:space="preserve">  Cumulative capital raised to date</t>
  </si>
  <si>
    <t>Calculated: CAC per free signup / free-to-paid conversion rate.</t>
  </si>
  <si>
    <t>AI-driven churn prediction identifies at-risk users before cancellation. Automated re-engagement flows (e.g., 'Your parent blocked 3 scams this month'). Family plan stickiness increases as more family members added.</t>
  </si>
  <si>
    <t>10% cost reduction. AI-native team fine-tunes smaller on-device models for common scam patterns (80% of calls), reserving expensive cloud LLM inference for edge cases. Open-source model migration (Llama 3, Mistral) for on-prem. API costs continue falling industry-wide.</t>
  </si>
  <si>
    <t>30% reduction from Y1. Proprietary scam-detection model trained on 2+ years of call data. Majority of inference runs on-device or via lightweight self-hosted models. Cloud API only for novel attack vectors.</t>
  </si>
  <si>
    <t>$120K/yr. Below Big Tech but competitive for international early-stage hire with equity. Targets mid-level ML + mobile engineers abroad.</t>
  </si>
  <si>
    <t>$84K/yr per founder. Below market ($150K+) but standard for seed-stage. Equity offsets cash discount. Covers living expenses in most metros.</t>
  </si>
  <si>
    <t>3.7x</t>
  </si>
  <si>
    <t>Marketing &amp; Acquisition Budget</t>
  </si>
  <si>
    <t xml:space="preserve">  Base brand/content monthly budget</t>
  </si>
  <si>
    <t xml:space="preserve">  Paid acquisition budget (Month 1)</t>
  </si>
  <si>
    <t xml:space="preserve">  Paid acquisition MoM growth rate</t>
  </si>
  <si>
    <t xml:space="preserve">  Cost per free signup (paid channel)</t>
  </si>
  <si>
    <t>Facebook/Google CPA for app installs targeting 35-55 demo. $3-8 range typical for health/safety apps. Increase spend = more signups at this rate.</t>
  </si>
  <si>
    <t xml:space="preserve">  Organic signups per month (base)</t>
  </si>
  <si>
    <t>users/mo</t>
  </si>
  <si>
    <t>Word-of-mouth + SEO + app store organic. Grows with brand spend. Not dependent on paid acquisition budget.</t>
  </si>
  <si>
    <t xml:space="preserve">  Organic signup MoM growth rate</t>
  </si>
  <si>
    <t>10% MoM organic growth from brand awareness, referrals, and content marketing. Amplified by base brand budget.</t>
  </si>
  <si>
    <t xml:space="preserve">  Marketing hire month</t>
  </si>
  <si>
    <t>Marketing hire at Mo5 to scale D2C paid acquisition and brand content. Manages ad spend lever and organic growth.</t>
  </si>
  <si>
    <t xml:space="preserve">  Marketing salary (monthly)</t>
  </si>
  <si>
    <t>$72K/yr. Growth marketing specialist with paid acquisition + content skills. AI-fluent for automated campaigns.</t>
  </si>
  <si>
    <t xml:space="preserve">  Product hire month</t>
  </si>
  <si>
    <t>Product manager at Mo8. CTO needs to focus on engineering; PM takes over roadmap, user research, and prioritization.</t>
  </si>
  <si>
    <t xml:space="preserve">  Product salary (monthly)</t>
  </si>
  <si>
    <t>$96K/yr. Mid-level PM with B2C SaaS experience. Manages AI feature prioritization and user analytics.</t>
  </si>
  <si>
    <t xml:space="preserve">  Finance hire month</t>
  </si>
  <si>
    <t>Part-time/fractional finance at Mo10. Needed for Series Seed prep, financial reporting, and investor materials.</t>
  </si>
  <si>
    <t xml:space="preserve">  Finance salary (monthly)</t>
  </si>
  <si>
    <t>$48K/yr. Fractional CFO or senior finance contractor. Part-time initially, handles fundraising models + reporting.</t>
  </si>
  <si>
    <t xml:space="preserve">  Ops hire month</t>
  </si>
  <si>
    <t>Operations/CS hire at Mo9. Handles customer support, onboarding, community management. AI-augmented for 80% ticket deflection.</t>
  </si>
  <si>
    <t xml:space="preserve">  Ops salary (monthly)</t>
  </si>
  <si>
    <t>$60K/yr. CS/Operations generalist. Manages onboarding, support tickets, and community relationships. AI tools amplify output.</t>
  </si>
  <si>
    <t xml:space="preserve">  (Moved to Marketing Budget below)</t>
  </si>
  <si>
    <t>Brand/content marketing budget moved to Marketing &amp; Acquisition Budget section below.</t>
  </si>
  <si>
    <t xml:space="preserve">  Paid acquisition budget</t>
  </si>
  <si>
    <t xml:space="preserve">  Paid signups from ads</t>
  </si>
  <si>
    <t xml:space="preserve">  Organic signups</t>
  </si>
  <si>
    <t xml:space="preserve">  Total new free signups (monthly)</t>
  </si>
  <si>
    <t xml:space="preserve">  Payroll — Founders</t>
  </si>
  <si>
    <t xml:space="preserve">  Payroll — Engineers</t>
  </si>
  <si>
    <t xml:space="preserve">  Payroll — BD/Sales</t>
  </si>
  <si>
    <t xml:space="preserve">  Payroll — Marketing</t>
  </si>
  <si>
    <t xml:space="preserve">  Payroll — Product</t>
  </si>
  <si>
    <t xml:space="preserve">  Payroll — Finance</t>
  </si>
  <si>
    <t xml:space="preserve">  Payroll — Ops</t>
  </si>
  <si>
    <t xml:space="preserve">  Marketing — Brand/Content</t>
  </si>
  <si>
    <t xml:space="preserve">  Marketing — Paid Acquisition</t>
  </si>
  <si>
    <t xml:space="preserve">  Total Marketing Spend</t>
  </si>
  <si>
    <t xml:space="preserve">  CAC spend (B2B communities)</t>
  </si>
  <si>
    <t xml:space="preserve">  Fixed OpEx (cloud+tools+legal+ins)</t>
  </si>
  <si>
    <t xml:space="preserve">  AI compute (paid + free)</t>
  </si>
  <si>
    <t xml:space="preserve">  Telecom/VoIP</t>
  </si>
  <si>
    <t>FUNDING REQUIREMENTS</t>
  </si>
  <si>
    <t>HeyLily — 3-Year Cash Flow Statement</t>
  </si>
  <si>
    <t>HeyLily — VC Summary &amp; Exit Scenarios</t>
  </si>
  <si>
    <t>COMPANY OVERVIEW</t>
  </si>
  <si>
    <t>Company</t>
  </si>
  <si>
    <t>HeyLily AI</t>
  </si>
  <si>
    <t>Sector</t>
  </si>
  <si>
    <t>AI-Powered Elder Care / Consumer Security</t>
  </si>
  <si>
    <t>Business Model</t>
  </si>
  <si>
    <t>B2B Community Lease + D2C Freemium SaaS</t>
  </si>
  <si>
    <t>Target Market</t>
  </si>
  <si>
    <t>28,900+ ALH communities; 60M+ US seniors</t>
  </si>
  <si>
    <t>Key Differentiator</t>
  </si>
  <si>
    <t>AI Voice Screener + Stolen Funds Reimbursement</t>
  </si>
  <si>
    <t>FINANCIAL SUMMARY (3-Year)</t>
  </si>
  <si>
    <t xml:space="preserve">  Total Revenue</t>
  </si>
  <si>
    <t xml:space="preserve">  Revenue Growth (YoY)</t>
  </si>
  <si>
    <t xml:space="preserve">  Gross Margin</t>
  </si>
  <si>
    <t xml:space="preserve">  EBITDA</t>
  </si>
  <si>
    <t xml:space="preserve">  ARR (end of year)</t>
  </si>
  <si>
    <t xml:space="preserve">  Total Users</t>
  </si>
  <si>
    <t xml:space="preserve">  D2C Paid Subscribers</t>
  </si>
  <si>
    <t xml:space="preserve">  B2B Communities</t>
  </si>
  <si>
    <t xml:space="preserve">  Headcount</t>
  </si>
  <si>
    <t xml:space="preserve">  Rev/Employee</t>
  </si>
  <si>
    <t xml:space="preserve">  LTV:CAC (D2C)</t>
  </si>
  <si>
    <t>FUNDRAISING HISTORY &amp; PLAN</t>
  </si>
  <si>
    <t>Series B</t>
  </si>
  <si>
    <t>Series C</t>
  </si>
  <si>
    <t xml:space="preserve">  Timing</t>
  </si>
  <si>
    <t xml:space="preserve">  Amount Raised</t>
  </si>
  <si>
    <t xml:space="preserve">  Pre-money Valuation</t>
  </si>
  <si>
    <t xml:space="preserve">  Post-money Valuation</t>
  </si>
  <si>
    <t xml:space="preserve">  Dilution (%)</t>
  </si>
  <si>
    <t xml:space="preserve">  Founder Ownership Post-Round</t>
  </si>
  <si>
    <t xml:space="preserve">  Investor Ownership</t>
  </si>
  <si>
    <t xml:space="preserve">  ESOP Reserve</t>
  </si>
  <si>
    <t xml:space="preserve">  Key Milestones</t>
  </si>
  <si>
    <t>Year 0-1</t>
  </si>
  <si>
    <t>EXIT SCENARIOS — $100M ARR (Year 8)</t>
  </si>
  <si>
    <t>Exit Assumptions</t>
  </si>
  <si>
    <t xml:space="preserve">  Target ARR at Exit</t>
  </si>
  <si>
    <t xml:space="preserve">  Exit Year</t>
  </si>
  <si>
    <t xml:space="preserve">  Total Capital Raised (all rounds)</t>
  </si>
  <si>
    <t xml:space="preserve">  Founder Ownership at Exit (est.)</t>
  </si>
  <si>
    <t xml:space="preserve">  Total Investor Ownership at Exit</t>
  </si>
  <si>
    <t xml:space="preserve">  ESOP at Exit</t>
  </si>
  <si>
    <t>Exit Valuation Scenarios</t>
  </si>
  <si>
    <t>Conservative</t>
  </si>
  <si>
    <t>Base Case</t>
  </si>
  <si>
    <t>Optimistic</t>
  </si>
  <si>
    <t xml:space="preserve">  Revenue Multiple</t>
  </si>
  <si>
    <t xml:space="preserve">  Enterprise Value</t>
  </si>
  <si>
    <t xml:space="preserve">  Founder Payout</t>
  </si>
  <si>
    <t xml:space="preserve">  Investor Payout</t>
  </si>
  <si>
    <t xml:space="preserve">  ESOP Payout</t>
  </si>
  <si>
    <t xml:space="preserve">  Investor MOIC (on total capital)</t>
  </si>
  <si>
    <t xml:space="preserve">  Investor IRR (est.)</t>
  </si>
  <si>
    <t xml:space="preserve">  Founder Value Created</t>
  </si>
  <si>
    <t>KEY INVESTMENT METRICS</t>
  </si>
  <si>
    <t>Unit Economics</t>
  </si>
  <si>
    <t xml:space="preserve">  D2C Effective CAC (per paid sub)</t>
  </si>
  <si>
    <t xml:space="preserve">  D2C LTV:CAC Ratio</t>
  </si>
  <si>
    <t xml:space="preserve">  D2C CAC Payback Period</t>
  </si>
  <si>
    <t xml:space="preserve">  B2B Revenue per Community (annual)</t>
  </si>
  <si>
    <t xml:space="preserve">  B2B CAC per Community</t>
  </si>
  <si>
    <t xml:space="preserve">  B2B CAC Payback Period</t>
  </si>
  <si>
    <t>Market Opportunity</t>
  </si>
  <si>
    <t xml:space="preserve">  Total Addressable Market (US ALH)</t>
  </si>
  <si>
    <t xml:space="preserve">  B2B Market Penetration (Year 3)</t>
  </si>
  <si>
    <t xml:space="preserve">  US 65+ Population</t>
  </si>
  <si>
    <t xml:space="preserve">  D2C Market Penetration (Year 3)</t>
  </si>
  <si>
    <t>Capital Efficiency</t>
  </si>
  <si>
    <t xml:space="preserve">  Total Capital to $100M ARR</t>
  </si>
  <si>
    <t xml:space="preserve">  Revenue per Dollar Raised (Y3)</t>
  </si>
  <si>
    <t xml:space="preserve">  Burn Multiple (Y1)</t>
  </si>
  <si>
    <t xml:space="preserve">  Burn Multiple (Y3)</t>
  </si>
  <si>
    <t xml:space="preserve">  Time to Profitability</t>
  </si>
  <si>
    <t>Competitive Moats</t>
  </si>
  <si>
    <t xml:space="preserve">  1. AI Voice Screener</t>
  </si>
  <si>
    <t xml:space="preserve">  2. Proprietary Scam Data</t>
  </si>
  <si>
    <t xml:space="preserve">  3. Reimbursement Program</t>
  </si>
  <si>
    <t xml:space="preserve">  4. B2B Distribution (ALH)</t>
  </si>
  <si>
    <t xml:space="preserve">  5. Network Effects</t>
  </si>
  <si>
    <t>Year 3 (est.)</t>
  </si>
  <si>
    <t>Real-time NLP-based voice analysis; 2+ years training data by exit</t>
  </si>
  <si>
    <t>Largest labeled elder scam call database; improves with scale</t>
  </si>
  <si>
    <t>$10K stolen funds coverage; unique in market; drives conversion</t>
  </si>
  <si>
    <t>Embedded in ALH communities; high switching costs; recurring</t>
  </si>
  <si>
    <t>Trust Circle referrals; family plan virality; community density</t>
  </si>
  <si>
    <t>HeyLily — Year 1 Revenue Sensitivity Analysis</t>
  </si>
  <si>
    <t>YEAR 1 REVENUE SENSITIVITY TO D2C SUBSCRIPTION PRICE</t>
  </si>
  <si>
    <t>Shows how Year 1 total revenue changes with different Protected and Family tier pricing. B2B lease revenue is unaffected.</t>
  </si>
  <si>
    <t>Current Assumptions</t>
  </si>
  <si>
    <t xml:space="preserve">  Protected Tier (annual)</t>
  </si>
  <si>
    <t xml:space="preserve">  Family Tier (annual)</t>
  </si>
  <si>
    <t xml:space="preserve">  Blended ARPU (monthly)</t>
  </si>
  <si>
    <t xml:space="preserve">  Y1 B2B Revenue (fixed)</t>
  </si>
  <si>
    <t xml:space="preserve">  Y1 D2C Revenue (current)</t>
  </si>
  <si>
    <t xml:space="preserve">  Y1 Total Revenue (current)</t>
  </si>
  <si>
    <t>SENSITIVITY TABLE: Y1 Total Revenue</t>
  </si>
  <si>
    <t>Protected → / Family ↓</t>
  </si>
  <si>
    <t>$60/yr</t>
  </si>
  <si>
    <t>$80/yr</t>
  </si>
  <si>
    <t>$100/yr</t>
  </si>
  <si>
    <t>$120/yr</t>
  </si>
  <si>
    <t>$140/yr</t>
  </si>
  <si>
    <t>$160/yr</t>
  </si>
  <si>
    <t>$180/yr</t>
  </si>
  <si>
    <t>$200/yr</t>
  </si>
  <si>
    <t>$240/yr</t>
  </si>
  <si>
    <t>$280/yr</t>
  </si>
  <si>
    <t>$320/yr</t>
  </si>
  <si>
    <t>$360/yr</t>
  </si>
  <si>
    <t>SENSITIVITY TABLE: Y1 Revenue by Protected Price × Free→Paid Conversion Rate</t>
  </si>
  <si>
    <t>Holds Family tier at current $240/yr. Shows how conversion rate amplifies pricing impact on D2C revenue.</t>
  </si>
  <si>
    <t>Protected → / Conv% ↓</t>
  </si>
  <si>
    <t>OPERATING ACTIVITIES</t>
  </si>
  <si>
    <t xml:space="preserve">  EBITDA (Operating Income/Loss)</t>
  </si>
  <si>
    <t xml:space="preserve">    Accounts receivable change</t>
  </si>
  <si>
    <t xml:space="preserve">    Accounts payable change</t>
  </si>
  <si>
    <t xml:space="preserve">    Deferred revenue change</t>
  </si>
  <si>
    <t>Net Cash from Operating Activities</t>
  </si>
  <si>
    <t>INVESTING ACTIVITIES</t>
  </si>
  <si>
    <t>Net Cash from Investing Activities</t>
  </si>
  <si>
    <t>FINANCING ACTIVITIES</t>
  </si>
  <si>
    <t xml:space="preserve">  Equity capital raised</t>
  </si>
  <si>
    <t>Net Cash from Financing Activities</t>
  </si>
  <si>
    <t>NET CHANGE IN CASH</t>
  </si>
  <si>
    <t>CASH FLOW METRICS</t>
  </si>
  <si>
    <t xml:space="preserve">  Monthly average burn rate</t>
  </si>
  <si>
    <t xml:space="preserve">  Months of runway (end of year)</t>
  </si>
  <si>
    <t xml:space="preserve">  Cash conversion (EBITDA to cash)</t>
  </si>
  <si>
    <t>Accelerating ramp: Mo1=1, Mo2=4, ..., Mo12=93. Hardcoded community count.</t>
  </si>
  <si>
    <t>Communities × GA!B7 (50 residents/community)</t>
  </si>
  <si>
    <t>Total residents × GA!B8 ($5/res/mo lease)</t>
  </si>
  <si>
    <t>Residents × GA!B9 (40% adoption). Active users incur compute COGS.</t>
  </si>
  <si>
    <t>GA!B70 (Mo1), then prior × (1+GA!B71 15% MoM). KEY LEVER.</t>
  </si>
  <si>
    <t>Paid budget ÷ GA!B72 ($5/signup). Increase budget = more signups.</t>
  </si>
  <si>
    <t>GA!B73 base, grows at GA!B74 (10% MoM). Word-of-mouth + SEO.</t>
  </si>
  <si>
    <t>Paid signups + organic signups. Total monthly acquisition.</t>
  </si>
  <si>
    <t>Prior free × (1 - 8% churn) + new signups.</t>
  </si>
  <si>
    <t>New signups × GA!B16 (7% conversion). From each month's cohort.</t>
  </si>
  <si>
    <t>Prior paid × (1 - 5% churn) + new conversions.</t>
  </si>
  <si>
    <t>Paid subs × GA!B28 ($12.99 blended ARPU/mo).</t>
  </si>
  <si>
    <t>B2B active + D2C free + D2C paid.</t>
  </si>
  <si>
    <t>Seed</t>
  </si>
  <si>
    <t>Year 6</t>
  </si>
  <si>
    <t>Year 8</t>
  </si>
  <si>
    <t>Series D</t>
  </si>
  <si>
    <t>Year 4</t>
  </si>
  <si>
    <t>Single pilot community at launch. ~28,900 ALH communities in the US (NCAL 2023). Starting with 1 enables deep product validation and a strong reference case study before scaling.</t>
  </si>
  <si>
    <t>Accelerating ramp: Mo2-Mo5 +3/mo, Mo6-Mo10 +10/mo, Mo11-12 +15/mo. Reflects learning curve, referral effects, and BD hire at Mo7. AI-native team automates onboarding and contract generation.</t>
  </si>
  <si>
    <t>US ALH avg is 33 (small) to 100+ (large). 50 is mid-market. Community lease covers ALL residents (100% coverage). Revenue per community = 50 × $5 = $250/mo.</t>
  </si>
  <si>
    <t>$5/resident/mo = $250/mo for a 50-bed community. Positioned as 'safety amenity' comparable to emergency pull-cord systems ($5-10/res/mo). Well within facility operating budgets.</t>
  </si>
  <si>
    <t>40% of residents actively enrolled. Community pays flat lease for ALL residents, but adoption requires family consent + device setup. Conservative for elderly users.</t>
  </si>
  <si>
    <t>D2C launches Month 1 alongside B2B. Freemium app available at launch with paid marketing from day one to build parallel D2C traction.</t>
  </si>
  <si>
    <t>100 free signups in launch month from targeted Facebook/Google ads to adult children of elderly. Conservative vs. typical freemium launches (200-500).</t>
  </si>
  <si>
    <t>6% conversion from free to paid. Slightly conservative vs. security app benchmarks (8-15%, Sensor Tower) because: elder audience has slower adoption. High-intent audience + reimbursement hook supports this rate.</t>
  </si>
  <si>
    <t>8% monthly churn on free tier (higher than paid). Free users have less commitment, but auto-blocking provides ongoing value. Freemium app benchmark: 6-12% monthly (Recurly 2023). Churned users replaced by ongoing marketing spend.</t>
  </si>
  <si>
    <t>$2M seed round for AI elder-care SaaS. ~24 months runway at projected burn. Funds MVP buildout, initial B2B + D2C traction, and team scaling through Year 1.</t>
  </si>
  <si>
    <t>Calculated: $2M Seed minus $15K one-time setup = $1,985,000 cash available at Month 1 start.</t>
  </si>
  <si>
    <t>Cost Growth &amp; Scaling Assumptions</t>
  </si>
  <si>
    <t xml:space="preserve">  Y1 marketing spend as % of D2C revenue</t>
  </si>
  <si>
    <t>x rev</t>
  </si>
  <si>
    <t>Year 1: spend 150% of D2C revenue on marketing. Investing heavily to build subscriber base. Paid acquisition + brand. High ratio is typical for pre-PMF SaaS.</t>
  </si>
  <si>
    <t xml:space="preserve">  Y2 marketing spend as % of total revenue</t>
  </si>
  <si>
    <t xml:space="preserve">  Y3 marketing spend as % of total revenue</t>
  </si>
  <si>
    <t xml:space="preserve">  Y2 R&amp;D (engineering) cost growth</t>
  </si>
  <si>
    <t>x Y1</t>
  </si>
  <si>
    <t xml:space="preserve">  Y3 R&amp;D (engineering) cost growth</t>
  </si>
  <si>
    <t>x Y2</t>
  </si>
  <si>
    <t xml:space="preserve">  Y2 G&amp;A cost growth</t>
  </si>
  <si>
    <t xml:space="preserve">  Y3 G&amp;A cost growth</t>
  </si>
  <si>
    <t xml:space="preserve">  Y1 monthly marketing budget growth rate</t>
  </si>
  <si>
    <t>25% MoM growth in total marketing spend during Y1. Aggressive ramp to acquire subscribers before seed runway depletes. Scales with new subscriber acquisition.</t>
  </si>
  <si>
    <t xml:space="preserve">  Marketing cost per new D2C subscriber</t>
  </si>
  <si>
    <t>$/new sub</t>
  </si>
  <si>
    <t>Fully-loaded marketing cost per new paid subscriber = total marketing spend ÷ new paid conversions. Includes brand, paid acquisition, and CAC. Target: &lt; $100 for 3.5x+ LTV:CAC.</t>
  </si>
  <si>
    <t xml:space="preserve">  Cloud infra cost per 1,000 users/mo</t>
  </si>
  <si>
    <t>$/1K users</t>
  </si>
  <si>
    <t>25% MoM growth in paid ad spend. Aggressive ramp to acquire D2C subscribers and build flywheel. Increase to get more users; decrease to conserve cash. KEY LEVER for runway.</t>
  </si>
  <si>
    <t>$5K/mo base brand/content spend. SEO, social media, blog content, PR targeting caregiver audience. Grows 10% MoM as team scales. Foundation for organic subscriber pipeline.</t>
  </si>
  <si>
    <t>$50/month per 1,000 active users for incremental cloud infrastructure. Economies of scale — cost per user decreases as platform grows. Base $2K/mo covers first ~1K users.</t>
  </si>
  <si>
    <t>Calculated: (70% × $10.00) + (30% × $20.00) = $12.99/mo per paid subscription. Note: Family plan counts as 1 subscription at $20/mo, covering 4 people.</t>
  </si>
  <si>
    <t>Calculated: 1 / monthly churn. At 5%, avg lifetime = 20 months. LTV = 20 × $12.99 ARPU = ~$260. Conservative vs. industry — security apps are sticky.</t>
  </si>
  <si>
    <t>5% monthly churn = ~46% annual retention = 20-month avg lifetime. Conservative for security apps — 'Soft Landing' to free tier means paid churn ≠ lost user. Can improve to 3% by Y3.</t>
  </si>
  <si>
    <t>$3K/mo initial paid acquisition (Google/Facebook ads). Grows 25% MoM to aggressively build subscriber base. Drives D2C free signups at $5/signup. KEY LEVER for growth and runway.</t>
  </si>
  <si>
    <t>~1 month critical payroll. Safety buffer; triggers fundraising urgency when approached. With $2M seed, this provides clear timeline for Series A.</t>
  </si>
  <si>
    <t>Founder-led sales cost: $800/community. Includes travel ($200), demo prep, legal/contracting. At $250/mo revenue per community, payback is ~3.2 months. Efficiency improves at scale with BD team and referral network.</t>
  </si>
  <si>
    <t>MVP, 93 communities, 1.7K D2C subs</t>
  </si>
  <si>
    <t>$1.1M ARR, 186 communities, PMF proven</t>
  </si>
  <si>
    <t>$9.8M ARR, 1,674 communities, scaling</t>
  </si>
  <si>
    <t>~$50M ARR, national expansion</t>
  </si>
  <si>
    <t>Year 2: marketing = 15% of total revenue. Growth-stage investment in subscriber acquisition. Includes paid channels + brand. Conservative vs. industry benchmark of 20-40% for growth SaaS.</t>
  </si>
  <si>
    <t>Year 3: marketing = 10% of total revenue. Operating leverage emerging — organic/referral channels maturing, brand awareness compounding. Absolute spend is still significant (~$2.8M) but efficiency improves.</t>
  </si>
  <si>
    <t>~$100M ARR</t>
  </si>
  <si>
    <t>Engineering cost triples Y1→Y2: team grows from 2→4 engineers + higher salaries for senior hires. Investing in AI model improvement, platform scalability, and mobile apps.</t>
  </si>
  <si>
    <t>Engineering triples again Y2→Y3: 4→7 engineers. Scaling for 1.6M users — on-device AI models, security hardening, enterprise features, and platform reliability.</t>
  </si>
  <si>
    <t>G&amp;A doubles Y1→Y2: finance, ops, legal scaling with team size (9→14 FTEs). SOC2 audit prep, multi-state compliance, basic HR/admin tools.</t>
  </si>
  <si>
    <t>G&amp;A grows 50% Y2→Y3: team 14→24 FTEs. Enterprise security stack, expanded insurance, HR infrastructure, compliance for larger user base. Operating leverage beginning.</t>
  </si>
  <si>
    <t>5x Y2→Y3 reflects continued strong growth on a larger base. Company enters scaling phase with dedicated sales team, partnership channels, and insurance/telecom distribution. Communities 930→4,650, paid subs 17.1K→85.7K.</t>
  </si>
  <si>
    <t>+2 eng, +1 BD/sales, +1 marketing, +1 ops. Team goes 9→14 FTEs. Conservative hiring for 10x growth year — AI-native efficiency means fewer hires needed vs. traditional startup.</t>
  </si>
  <si>
    <t>+3 eng, +2 BD, +1 marketing, +1 product, +1 finance, +2 ops. Team 14→24 FTEs. Scaling for 5x growth and 1.6M+ users. AI leverage delivers 2x+ rev/employee efficiency.</t>
  </si>
  <si>
    <t>Calculated: All residents (50) × lease rate ($5) × 12. Revenue per community = $3,000/yr (flat lease regardless of adoption). Adoption rate only affects COGS (active users).</t>
  </si>
  <si>
    <t>B2B Year 1 payback only (not multi-year LTV). $3,000 annual revenue / $800 CAC = 3.75x. Community lease model is highly capital-efficient vs. D2C.</t>
  </si>
  <si>
    <t>Overall blended ARPU across B2B + D2C channels computed in 12-Mo Projections tab. B2B per-resident ($5/mo = $60/yr) dilutes D2C ARPU ($156/yr), bringing blend closer to $100 target.</t>
  </si>
  <si>
    <t>3.8x</t>
  </si>
  <si>
    <t xml:space="preserve">  One-time setup costs (in beginning bal.)</t>
  </si>
  <si>
    <t xml:space="preserve">  Software/equipment capex (in OpEx)</t>
  </si>
  <si>
    <t xml:space="preserve">  Working capital changes (memo):</t>
  </si>
  <si>
    <t>9x on Y1 ending subscriber base. Aggressive but achievable with Series A capital: AI-automated onboarding, scaled BD team, D2C freemium flywheel hitting stride. Communities 93→930, paid subs 1.7K→17.1K.</t>
  </si>
  <si>
    <t>200% increase in fixed costs Y1→Y2 (cloud, tools, legal, insurance). Minimal growth since Marketing is now tracked separately. Cloud scales modestly with user growth at this stage.</t>
  </si>
  <si>
    <t>300% increase in fixed costs Y2→Y3. Modest growth as economies of scale emerge — cloud infrastructure costs per user decline, team tools scale efficiently. Operating leverage kicks 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</si>
</sst>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6" formatCode="&quot;$&quot;#,##0_);[Red]\(&quot;$&quot;#,##0\)"/>
    <numFmt numFmtId="8" formatCode="&quot;$&quot;#,##0.00_);[Red]\(&quot;$&quot;#,##0.00\)"/>
    <numFmt numFmtId="43" formatCode="_(* #,##0.00_);_(* \(#,##0.00\);_(* &quot;-&quot;??_);_(@_)"/>
    <numFmt numFmtId="164" formatCode="0.0%"/>
    <numFmt numFmtId="165" formatCode="&quot;$&quot;#,##0"/>
    <numFmt numFmtId="166" formatCode="&quot;$&quot;#,##0.00"/>
    <numFmt numFmtId="167" formatCode="0.0\x"/>
    <numFmt numFmtId="168" formatCode="&quot;$&quot;#,##0;\(&quot;$&quot;#,##0\);\-"/>
    <numFmt numFmtId="169" formatCode="&quot;$&quot;#,##0;\(&quot;$&quot;#,##0\)"/>
    <numFmt numFmtId="170" formatCode="0.0&quot; months&quot;"/>
    <numFmt numFmtId="171" formatCode="#,##0&quot; communities&quot;"/>
    <numFmt numFmtId="172" formatCode="0.000%"/>
    <numFmt numFmtId="173" formatCode="_(* #,##0_);_(* \(#,##0\);_(* &quot;-&quot;??_);_(@_)"/>
  </numFmts>
  <fonts count="23">
    <font>
      <sz val="12"/>
      <color theme="1"/>
      <name val="Aptos Narrow"/>
      <family val="2"/>
      <scheme val="minor"/>
    </font>
    <font>
      <b/>
      <sz val="14"/>
      <color rgb="FFFFFFFF"/>
      <name val="Arial"/>
      <family val="2"/>
    </font>
    <font>
      <sz val="10"/>
      <color theme="1"/>
      <name val="Arial"/>
      <family val="2"/>
    </font>
    <font>
      <sz val="10"/>
      <color rgb="FF0000FF"/>
      <name val="Arial"/>
      <family val="2"/>
    </font>
    <font>
      <sz val="9"/>
      <color rgb="FF555555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i/>
      <sz val="10"/>
      <color theme="1"/>
      <name val="Arial"/>
      <family val="2"/>
    </font>
    <font>
      <sz val="4"/>
      <color theme="1"/>
      <name val="Aptos Narrow"/>
      <family val="2"/>
      <scheme val="minor"/>
    </font>
    <font>
      <b/>
      <sz val="9"/>
      <color rgb="FF555555"/>
      <name val="Arial"/>
      <family val="2"/>
    </font>
    <font>
      <sz val="10"/>
      <color rgb="FF008000"/>
      <name val="Arial"/>
      <family val="2"/>
    </font>
    <font>
      <i/>
      <sz val="10"/>
      <color theme="1"/>
      <name val="Arial"/>
      <family val="2"/>
    </font>
    <font>
      <b/>
      <sz val="10"/>
      <color rgb="FF008000"/>
      <name val="Arial"/>
      <family val="2"/>
    </font>
    <font>
      <b/>
      <sz val="10"/>
      <color rgb="FF0000FF"/>
      <name val="Arial"/>
      <family val="2"/>
    </font>
    <font>
      <sz val="12"/>
      <color theme="1"/>
      <name val="Aptos Narrow"/>
      <family val="2"/>
      <scheme val="minor"/>
    </font>
    <font>
      <sz val="12"/>
      <color theme="1"/>
      <name val="Aptos Narrow"/>
      <scheme val="minor"/>
    </font>
    <font>
      <sz val="10"/>
      <color rgb="FF999999"/>
      <name val="Arial"/>
      <family val="2"/>
    </font>
    <font>
      <i/>
      <sz val="10"/>
      <color rgb="FF999999"/>
      <name val="Arial"/>
      <family val="2"/>
    </font>
    <font>
      <sz val="9"/>
      <color rgb="FF999999"/>
      <name val="Arial"/>
      <family val="2"/>
    </font>
    <font>
      <sz val="4"/>
      <color theme="1"/>
      <name val="Aptos Narrow"/>
      <scheme val="minor"/>
    </font>
    <font>
      <i/>
      <sz val="9"/>
      <color rgb="FF555555"/>
      <name val="Arial"/>
      <family val="2"/>
    </font>
    <font>
      <b/>
      <sz val="9"/>
      <color theme="1"/>
      <name val="Arial"/>
      <family val="2"/>
    </font>
    <font>
      <b/>
      <i/>
      <sz val="9"/>
      <color rgb="FF555555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  <fill>
      <patternFill patternType="solid">
        <fgColor rgb="FFD6DCE4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double">
        <color auto="1"/>
      </bottom>
      <diagonal/>
    </border>
  </borders>
  <cellStyleXfs count="2">
    <xf numFmtId="0" fontId="0" fillId="0" borderId="0"/>
    <xf numFmtId="43" fontId="14" fillId="0" borderId="0" applyFont="0" applyFill="0" applyBorder="0" applyAlignment="0" applyProtection="0"/>
  </cellStyleXfs>
  <cellXfs count="84">
    <xf numFmtId="0" fontId="0" fillId="0" borderId="0" xfId="0"/>
    <xf numFmtId="0" fontId="1" fillId="2" borderId="0" xfId="0" applyFont="1" applyFill="1"/>
    <xf numFmtId="0" fontId="0" fillId="2" borderId="0" xfId="0" applyFill="1"/>
    <xf numFmtId="0" fontId="0" fillId="4" borderId="0" xfId="0" applyFill="1"/>
    <xf numFmtId="0" fontId="2" fillId="0" borderId="0" xfId="0" applyFont="1"/>
    <xf numFmtId="3" fontId="3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/>
    <xf numFmtId="164" fontId="3" fillId="0" borderId="0" xfId="0" applyNumberFormat="1" applyFont="1" applyAlignment="1">
      <alignment horizontal="center"/>
    </xf>
    <xf numFmtId="165" fontId="3" fillId="0" borderId="0" xfId="0" applyNumberFormat="1" applyFont="1" applyAlignment="1">
      <alignment horizontal="center"/>
    </xf>
    <xf numFmtId="167" fontId="3" fillId="0" borderId="0" xfId="0" applyNumberFormat="1" applyFont="1" applyAlignment="1">
      <alignment horizontal="center"/>
    </xf>
    <xf numFmtId="0" fontId="5" fillId="0" borderId="0" xfId="0" applyFont="1"/>
    <xf numFmtId="0" fontId="5" fillId="3" borderId="0" xfId="0" applyFont="1" applyFill="1"/>
    <xf numFmtId="0" fontId="5" fillId="3" borderId="0" xfId="0" applyFont="1" applyFill="1" applyAlignment="1">
      <alignment horizontal="center"/>
    </xf>
    <xf numFmtId="0" fontId="6" fillId="4" borderId="0" xfId="0" applyFont="1" applyFill="1"/>
    <xf numFmtId="0" fontId="7" fillId="0" borderId="0" xfId="0" applyFont="1"/>
    <xf numFmtId="0" fontId="8" fillId="0" borderId="0" xfId="0" applyFont="1"/>
    <xf numFmtId="0" fontId="9" fillId="0" borderId="0" xfId="0" applyFont="1"/>
    <xf numFmtId="3" fontId="10" fillId="0" borderId="0" xfId="0" applyNumberFormat="1" applyFont="1" applyAlignment="1">
      <alignment horizontal="center"/>
    </xf>
    <xf numFmtId="0" fontId="11" fillId="0" borderId="0" xfId="0" applyFont="1"/>
    <xf numFmtId="165" fontId="10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  <xf numFmtId="164" fontId="10" fillId="0" borderId="0" xfId="0" applyNumberFormat="1" applyFont="1" applyAlignment="1">
      <alignment horizontal="center"/>
    </xf>
    <xf numFmtId="0" fontId="13" fillId="0" borderId="0" xfId="0" applyFont="1" applyAlignment="1">
      <alignment horizontal="center"/>
    </xf>
    <xf numFmtId="0" fontId="3" fillId="0" borderId="0" xfId="0" applyFont="1"/>
    <xf numFmtId="8" fontId="3" fillId="0" borderId="0" xfId="0" applyNumberFormat="1" applyFont="1"/>
    <xf numFmtId="9" fontId="3" fillId="0" borderId="0" xfId="0" applyNumberFormat="1" applyFont="1"/>
    <xf numFmtId="6" fontId="3" fillId="0" borderId="0" xfId="0" applyNumberFormat="1" applyFont="1"/>
    <xf numFmtId="0" fontId="15" fillId="0" borderId="0" xfId="0" applyFont="1"/>
    <xf numFmtId="10" fontId="3" fillId="0" borderId="0" xfId="0" applyNumberFormat="1" applyFont="1"/>
    <xf numFmtId="8" fontId="2" fillId="0" borderId="0" xfId="0" applyNumberFormat="1" applyFont="1"/>
    <xf numFmtId="6" fontId="2" fillId="0" borderId="0" xfId="0" applyNumberFormat="1" applyFont="1"/>
    <xf numFmtId="3" fontId="3" fillId="0" borderId="0" xfId="0" applyNumberFormat="1" applyFont="1"/>
    <xf numFmtId="0" fontId="17" fillId="0" borderId="0" xfId="0" applyFont="1"/>
    <xf numFmtId="6" fontId="16" fillId="0" borderId="0" xfId="0" applyNumberFormat="1" applyFont="1"/>
    <xf numFmtId="0" fontId="16" fillId="0" borderId="0" xfId="0" applyFont="1" applyAlignment="1">
      <alignment horizontal="center"/>
    </xf>
    <xf numFmtId="0" fontId="18" fillId="0" borderId="0" xfId="0" applyFont="1"/>
    <xf numFmtId="0" fontId="19" fillId="0" borderId="0" xfId="0" applyFont="1"/>
    <xf numFmtId="0" fontId="19" fillId="5" borderId="0" xfId="0" applyFont="1" applyFill="1"/>
    <xf numFmtId="0" fontId="0" fillId="5" borderId="0" xfId="0" applyFill="1"/>
    <xf numFmtId="3" fontId="5" fillId="0" borderId="0" xfId="0" applyNumberFormat="1" applyFont="1" applyAlignment="1">
      <alignment horizontal="center"/>
    </xf>
    <xf numFmtId="165" fontId="5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0" fontId="2" fillId="5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164" fontId="11" fillId="0" borderId="0" xfId="0" applyNumberFormat="1" applyFont="1" applyAlignment="1">
      <alignment horizontal="center"/>
    </xf>
    <xf numFmtId="169" fontId="2" fillId="0" borderId="0" xfId="0" applyNumberFormat="1" applyFont="1" applyAlignment="1">
      <alignment horizontal="center"/>
    </xf>
    <xf numFmtId="165" fontId="2" fillId="0" borderId="4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/>
    </xf>
    <xf numFmtId="165" fontId="5" fillId="0" borderId="4" xfId="0" applyNumberFormat="1" applyFont="1" applyBorder="1" applyAlignment="1">
      <alignment horizontal="center"/>
    </xf>
    <xf numFmtId="165" fontId="5" fillId="0" borderId="5" xfId="0" applyNumberFormat="1" applyFont="1" applyBorder="1" applyAlignment="1">
      <alignment horizontal="center"/>
    </xf>
    <xf numFmtId="168" fontId="5" fillId="0" borderId="2" xfId="0" applyNumberFormat="1" applyFont="1" applyBorder="1" applyAlignment="1">
      <alignment horizontal="center"/>
    </xf>
    <xf numFmtId="169" fontId="5" fillId="0" borderId="3" xfId="0" applyNumberFormat="1" applyFont="1" applyBorder="1" applyAlignment="1">
      <alignment horizontal="center"/>
    </xf>
    <xf numFmtId="164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69" fontId="5" fillId="0" borderId="2" xfId="0" applyNumberFormat="1" applyFont="1" applyBorder="1" applyAlignment="1">
      <alignment horizontal="center"/>
    </xf>
    <xf numFmtId="165" fontId="2" fillId="0" borderId="0" xfId="0" applyNumberFormat="1" applyFont="1"/>
    <xf numFmtId="164" fontId="2" fillId="0" borderId="0" xfId="0" applyNumberFormat="1" applyFont="1"/>
    <xf numFmtId="165" fontId="13" fillId="0" borderId="0" xfId="0" applyNumberFormat="1" applyFont="1" applyAlignment="1">
      <alignment horizontal="center"/>
    </xf>
    <xf numFmtId="167" fontId="5" fillId="0" borderId="0" xfId="0" applyNumberFormat="1" applyFont="1" applyAlignment="1">
      <alignment horizontal="center"/>
    </xf>
    <xf numFmtId="165" fontId="5" fillId="6" borderId="0" xfId="0" applyNumberFormat="1" applyFont="1" applyFill="1" applyAlignment="1">
      <alignment horizontal="center"/>
    </xf>
    <xf numFmtId="167" fontId="5" fillId="6" borderId="0" xfId="0" applyNumberFormat="1" applyFont="1" applyFill="1" applyAlignment="1">
      <alignment horizontal="center"/>
    </xf>
    <xf numFmtId="165" fontId="5" fillId="6" borderId="4" xfId="0" applyNumberFormat="1" applyFont="1" applyFill="1" applyBorder="1" applyAlignment="1">
      <alignment horizontal="center"/>
    </xf>
    <xf numFmtId="165" fontId="2" fillId="0" borderId="3" xfId="0" applyNumberFormat="1" applyFont="1" applyBorder="1" applyAlignment="1">
      <alignment horizontal="center"/>
    </xf>
    <xf numFmtId="166" fontId="2" fillId="0" borderId="0" xfId="0" applyNumberFormat="1" applyFont="1"/>
    <xf numFmtId="167" fontId="5" fillId="0" borderId="0" xfId="0" applyNumberFormat="1" applyFont="1"/>
    <xf numFmtId="170" fontId="2" fillId="0" borderId="0" xfId="0" applyNumberFormat="1" applyFont="1"/>
    <xf numFmtId="171" fontId="2" fillId="0" borderId="0" xfId="0" applyNumberFormat="1" applyFont="1"/>
    <xf numFmtId="3" fontId="2" fillId="0" borderId="0" xfId="0" applyNumberFormat="1" applyFont="1"/>
    <xf numFmtId="172" fontId="2" fillId="0" borderId="0" xfId="0" applyNumberFormat="1" applyFont="1"/>
    <xf numFmtId="167" fontId="2" fillId="0" borderId="0" xfId="0" applyNumberFormat="1" applyFont="1"/>
    <xf numFmtId="0" fontId="20" fillId="0" borderId="0" xfId="0" applyFont="1"/>
    <xf numFmtId="165" fontId="10" fillId="0" borderId="0" xfId="0" applyNumberFormat="1" applyFont="1"/>
    <xf numFmtId="166" fontId="10" fillId="0" borderId="0" xfId="0" applyNumberFormat="1" applyFont="1"/>
    <xf numFmtId="165" fontId="12" fillId="0" borderId="0" xfId="0" applyNumberFormat="1" applyFont="1"/>
    <xf numFmtId="0" fontId="21" fillId="0" borderId="0" xfId="0" applyFont="1"/>
    <xf numFmtId="0" fontId="22" fillId="3" borderId="0" xfId="0" applyFont="1" applyFill="1" applyAlignment="1">
      <alignment horizontal="center"/>
    </xf>
    <xf numFmtId="164" fontId="5" fillId="3" borderId="0" xfId="0" applyNumberFormat="1" applyFont="1" applyFill="1" applyAlignment="1">
      <alignment horizontal="center"/>
    </xf>
    <xf numFmtId="169" fontId="5" fillId="0" borderId="1" xfId="0" applyNumberFormat="1" applyFont="1" applyBorder="1" applyAlignment="1">
      <alignment horizontal="center"/>
    </xf>
    <xf numFmtId="173" fontId="3" fillId="0" borderId="0" xfId="1" applyNumberFormat="1" applyFont="1"/>
    <xf numFmtId="167" fontId="3" fillId="0" borderId="0" xfId="0" applyNumberFormat="1" applyFont="1"/>
    <xf numFmtId="164" fontId="3" fillId="0" borderId="0" xfId="0" applyNumberFormat="1" applyFont="1"/>
    <xf numFmtId="165" fontId="3" fillId="0" borderId="0" xfId="0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897DBBC3-850B-AC4D-B6DB-F96E071F0A85}">
  <we:reference id="wa200009404" version="1.0.0.8" store="en-US" storeType="OMEX"/>
  <we:alternateReferences>
    <we:reference id="wa200009404" version="1.0.0.8" store="en-US" storeType="OMEX"/>
  </we:alternateReferences>
  <we:properties>
    <we:property name="Office.AutoShowTaskpaneWithDocument" value="true"/>
  </we:properties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35D8F-FD37-054B-9F59-E30EF8B4B82A}">
  <dimension ref="A1:H87"/>
  <sheetViews>
    <sheetView tabSelected="1" workbookViewId="0">
      <pane ySplit="2" topLeftCell="A3" activePane="bottomLeft" state="frozen"/>
      <selection pane="bottomLeft" activeCell="D20" sqref="D20"/>
    </sheetView>
  </sheetViews>
  <sheetFormatPr baseColWidth="10" defaultRowHeight="16"/>
  <cols>
    <col min="1" max="1" width="41.6640625" customWidth="1"/>
    <col min="2" max="6" width="23.33203125" customWidth="1"/>
  </cols>
  <sheetData>
    <row r="1" spans="1:8" ht="18">
      <c r="A1" s="1" t="s">
        <v>266</v>
      </c>
      <c r="B1" s="2"/>
      <c r="C1" s="2"/>
      <c r="D1" s="2"/>
      <c r="E1" s="2"/>
      <c r="F1" s="2"/>
      <c r="G1" s="2"/>
      <c r="H1" s="2"/>
    </row>
    <row r="3" spans="1:8">
      <c r="A3" s="14" t="s">
        <v>267</v>
      </c>
      <c r="B3" s="3"/>
      <c r="C3" s="3"/>
      <c r="D3" s="3"/>
      <c r="E3" s="3"/>
      <c r="F3" s="3"/>
      <c r="G3" s="3"/>
      <c r="H3" s="3"/>
    </row>
    <row r="4" spans="1:8">
      <c r="A4" s="11" t="s">
        <v>268</v>
      </c>
      <c r="B4" s="4" t="s">
        <v>269</v>
      </c>
    </row>
    <row r="5" spans="1:8">
      <c r="A5" s="11" t="s">
        <v>270</v>
      </c>
      <c r="B5" s="4" t="s">
        <v>271</v>
      </c>
    </row>
    <row r="6" spans="1:8">
      <c r="A6" s="11" t="s">
        <v>272</v>
      </c>
      <c r="B6" s="4" t="s">
        <v>273</v>
      </c>
    </row>
    <row r="7" spans="1:8">
      <c r="A7" s="11" t="s">
        <v>274</v>
      </c>
      <c r="B7" s="4" t="s">
        <v>275</v>
      </c>
    </row>
    <row r="8" spans="1:8">
      <c r="A8" s="11" t="s">
        <v>276</v>
      </c>
      <c r="B8" s="4" t="s">
        <v>277</v>
      </c>
    </row>
    <row r="10" spans="1:8">
      <c r="A10" s="14" t="s">
        <v>278</v>
      </c>
      <c r="B10" s="3"/>
      <c r="C10" s="3"/>
      <c r="D10" s="3"/>
      <c r="E10" s="3"/>
      <c r="F10" s="3"/>
      <c r="G10" s="3"/>
      <c r="H10" s="3"/>
    </row>
    <row r="11" spans="1:8">
      <c r="A11" s="12"/>
      <c r="B11" s="13" t="s">
        <v>175</v>
      </c>
      <c r="C11" s="13" t="s">
        <v>176</v>
      </c>
      <c r="D11" s="13" t="s">
        <v>177</v>
      </c>
    </row>
    <row r="12" spans="1:8">
      <c r="A12" s="4" t="s">
        <v>279</v>
      </c>
      <c r="B12" s="41">
        <f>'3-Yr Summary P&amp;L'!B17</f>
        <v>199661.32</v>
      </c>
      <c r="C12" s="41">
        <f>'3-Yr Summary P&amp;L'!C17</f>
        <v>4914201.96</v>
      </c>
      <c r="D12" s="41">
        <f>'3-Yr Summary P&amp;L'!D17</f>
        <v>24571009.800000001</v>
      </c>
    </row>
    <row r="13" spans="1:8">
      <c r="A13" s="4" t="s">
        <v>280</v>
      </c>
      <c r="B13" s="46" t="s">
        <v>187</v>
      </c>
      <c r="C13" s="46">
        <f>'3-Yr Summary P&amp;L'!C18</f>
        <v>23.612688927429708</v>
      </c>
      <c r="D13" s="46">
        <f>'3-Yr Summary P&amp;L'!D18</f>
        <v>4</v>
      </c>
    </row>
    <row r="14" spans="1:8">
      <c r="A14" s="4" t="s">
        <v>281</v>
      </c>
      <c r="B14" s="46">
        <f>'3-Yr Summary P&amp;L'!B27</f>
        <v>0.3463188454328559</v>
      </c>
      <c r="C14" s="46">
        <f>'3-Yr Summary P&amp;L'!C27</f>
        <v>0.35451613571046636</v>
      </c>
      <c r="D14" s="46">
        <f>'3-Yr Summary P&amp;L'!D27</f>
        <v>0.3923862825857487</v>
      </c>
    </row>
    <row r="15" spans="1:8">
      <c r="A15" s="4" t="s">
        <v>282</v>
      </c>
      <c r="B15" s="41">
        <f>'3-Yr Summary P&amp;L'!B45</f>
        <v>-1600629.5221800001</v>
      </c>
      <c r="C15" s="41">
        <f>'3-Yr Summary P&amp;L'!C45</f>
        <v>-2610728.6990399999</v>
      </c>
      <c r="D15" s="41">
        <f>'3-Yr Summary P&amp;L'!D45</f>
        <v>-2452092.2051999997</v>
      </c>
    </row>
    <row r="16" spans="1:8">
      <c r="A16" s="4" t="s">
        <v>283</v>
      </c>
      <c r="B16" s="41">
        <f>'3-Yr Summary P&amp;L'!B47</f>
        <v>546022.43999999994</v>
      </c>
      <c r="C16" s="41">
        <f>'3-Yr Summary P&amp;L'!C47</f>
        <v>4914201.96</v>
      </c>
      <c r="D16" s="41">
        <f>'3-Yr Summary P&amp;L'!D47</f>
        <v>24571009.800000001</v>
      </c>
    </row>
    <row r="17" spans="1:8">
      <c r="A17" s="4" t="s">
        <v>284</v>
      </c>
      <c r="B17" s="42">
        <f>'3-Yr Summary P&amp;L'!B8</f>
        <v>32616</v>
      </c>
      <c r="C17" s="42">
        <f>'3-Yr Summary P&amp;L'!C8</f>
        <v>293544</v>
      </c>
      <c r="D17" s="42">
        <f>'3-Yr Summary P&amp;L'!D8</f>
        <v>1467720</v>
      </c>
    </row>
    <row r="18" spans="1:8">
      <c r="A18" s="4" t="s">
        <v>285</v>
      </c>
      <c r="B18" s="42">
        <f>'3-Yr Summary P&amp;L'!B6</f>
        <v>1713</v>
      </c>
      <c r="C18" s="42">
        <f>'3-Yr Summary P&amp;L'!C6</f>
        <v>15417</v>
      </c>
      <c r="D18" s="42">
        <f>'3-Yr Summary P&amp;L'!D6</f>
        <v>77085</v>
      </c>
    </row>
    <row r="19" spans="1:8">
      <c r="A19" s="4" t="s">
        <v>286</v>
      </c>
      <c r="B19" s="42">
        <f>'3-Yr Summary P&amp;L'!B4</f>
        <v>93</v>
      </c>
      <c r="C19" s="42">
        <f>'3-Yr Summary P&amp;L'!C4</f>
        <v>837</v>
      </c>
      <c r="D19" s="42">
        <f>'3-Yr Summary P&amp;L'!D4</f>
        <v>4185</v>
      </c>
    </row>
    <row r="20" spans="1:8">
      <c r="A20" s="4" t="s">
        <v>287</v>
      </c>
      <c r="B20" s="42">
        <f>'3-Yr Summary P&amp;L'!B9</f>
        <v>9</v>
      </c>
      <c r="C20" s="42">
        <f>'3-Yr Summary P&amp;L'!C9</f>
        <v>14</v>
      </c>
      <c r="D20" s="42">
        <f>'3-Yr Summary P&amp;L'!D9</f>
        <v>24</v>
      </c>
    </row>
    <row r="21" spans="1:8">
      <c r="A21" s="4" t="s">
        <v>288</v>
      </c>
      <c r="B21" s="41">
        <f>'3-Yr Summary P&amp;L'!B51</f>
        <v>22185</v>
      </c>
      <c r="C21" s="41">
        <f>'3-Yr Summary P&amp;L'!C51</f>
        <v>351014</v>
      </c>
      <c r="D21" s="41">
        <f>'3-Yr Summary P&amp;L'!D51</f>
        <v>1023792</v>
      </c>
    </row>
    <row r="22" spans="1:8">
      <c r="A22" s="4" t="s">
        <v>289</v>
      </c>
      <c r="B22" s="6" t="str">
        <f>'3-Yr Summary P&amp;L'!B12</f>
        <v>3.7x</v>
      </c>
      <c r="C22" s="6">
        <f>'3-Yr Summary P&amp;L'!C12</f>
        <v>4.5999999999999996</v>
      </c>
      <c r="D22" s="6">
        <f>'3-Yr Summary P&amp;L'!D12</f>
        <v>6.1</v>
      </c>
    </row>
    <row r="24" spans="1:8">
      <c r="A24" s="14" t="s">
        <v>290</v>
      </c>
      <c r="B24" s="3"/>
      <c r="C24" s="3"/>
      <c r="D24" s="3"/>
      <c r="E24" s="3"/>
      <c r="F24" s="3"/>
      <c r="G24" s="3"/>
      <c r="H24" s="3"/>
    </row>
    <row r="25" spans="1:8">
      <c r="A25" s="12"/>
      <c r="B25" s="13" t="s">
        <v>410</v>
      </c>
      <c r="C25" s="13" t="s">
        <v>203</v>
      </c>
      <c r="D25" s="13" t="s">
        <v>291</v>
      </c>
      <c r="E25" s="13" t="s">
        <v>292</v>
      </c>
      <c r="F25" s="13" t="s">
        <v>413</v>
      </c>
    </row>
    <row r="26" spans="1:8">
      <c r="A26" s="4" t="s">
        <v>293</v>
      </c>
      <c r="B26" s="6" t="s">
        <v>302</v>
      </c>
      <c r="C26" s="6" t="s">
        <v>176</v>
      </c>
      <c r="D26" s="6" t="s">
        <v>414</v>
      </c>
      <c r="E26" s="6" t="s">
        <v>411</v>
      </c>
      <c r="F26" s="6" t="s">
        <v>412</v>
      </c>
    </row>
    <row r="27" spans="1:8">
      <c r="A27" s="4" t="s">
        <v>294</v>
      </c>
      <c r="B27" s="59">
        <v>2000000</v>
      </c>
      <c r="C27" s="59">
        <v>5000000</v>
      </c>
      <c r="D27" s="59">
        <v>20000000</v>
      </c>
      <c r="E27" s="59">
        <v>50000000</v>
      </c>
      <c r="F27" s="59">
        <v>100000000</v>
      </c>
    </row>
    <row r="28" spans="1:8">
      <c r="A28" s="4" t="s">
        <v>295</v>
      </c>
      <c r="B28" s="9">
        <v>8000000</v>
      </c>
      <c r="C28" s="9">
        <v>25000000</v>
      </c>
      <c r="D28" s="9">
        <v>100000000</v>
      </c>
      <c r="E28" s="9">
        <v>300000000</v>
      </c>
      <c r="F28" s="9">
        <v>900000000</v>
      </c>
    </row>
    <row r="29" spans="1:8">
      <c r="A29" s="4" t="s">
        <v>296</v>
      </c>
      <c r="B29" s="41">
        <f>B28+B27</f>
        <v>10000000</v>
      </c>
      <c r="C29" s="41">
        <f>C28+C27</f>
        <v>30000000</v>
      </c>
      <c r="D29" s="41">
        <f>D28+D27</f>
        <v>120000000</v>
      </c>
      <c r="E29" s="41">
        <f>E28+E27</f>
        <v>350000000</v>
      </c>
      <c r="F29" s="41">
        <f>F28+F27</f>
        <v>1000000000</v>
      </c>
    </row>
    <row r="30" spans="1:8">
      <c r="A30" s="4" t="s">
        <v>297</v>
      </c>
      <c r="B30" s="54">
        <f>B27/B29</f>
        <v>0.2</v>
      </c>
      <c r="C30" s="54">
        <f>C27/C29</f>
        <v>0.16666666666666666</v>
      </c>
      <c r="D30" s="54">
        <f>D27/D29</f>
        <v>0.16666666666666666</v>
      </c>
      <c r="E30" s="54">
        <f>E27/E29</f>
        <v>0.14285714285714285</v>
      </c>
      <c r="F30" s="54">
        <f>F27/F29</f>
        <v>0.1</v>
      </c>
    </row>
    <row r="31" spans="1:8">
      <c r="A31" s="4" t="s">
        <v>298</v>
      </c>
      <c r="B31" s="8">
        <f>1-B30</f>
        <v>0.8</v>
      </c>
      <c r="C31" s="54">
        <f>B31*(1-C30)-C33</f>
        <v>0.56666666666666676</v>
      </c>
      <c r="D31" s="54">
        <f>C31*(1-D30)</f>
        <v>0.47222222222222232</v>
      </c>
      <c r="E31" s="54">
        <f>D31*(1-E30)-(E33-D33*(1-E30))</f>
        <v>0.35476190476190489</v>
      </c>
      <c r="F31" s="54">
        <f>E31*(1-F30)</f>
        <v>0.31928571428571439</v>
      </c>
    </row>
    <row r="32" spans="1:8">
      <c r="A32" s="4" t="s">
        <v>299</v>
      </c>
      <c r="B32" s="54">
        <f>B30</f>
        <v>0.2</v>
      </c>
      <c r="C32" s="54">
        <f>B32*(1-C30)+C30</f>
        <v>0.33333333333333337</v>
      </c>
      <c r="D32" s="54">
        <f>C32*(1-D30)+D30</f>
        <v>0.44444444444444453</v>
      </c>
      <c r="E32" s="54">
        <f>D32*(1-E30)+E30</f>
        <v>0.52380952380952395</v>
      </c>
      <c r="F32" s="54">
        <f>E32*(1-F30)+F30</f>
        <v>0.57142857142857162</v>
      </c>
    </row>
    <row r="33" spans="1:8">
      <c r="A33" s="4" t="s">
        <v>300</v>
      </c>
      <c r="B33" s="54">
        <v>0</v>
      </c>
      <c r="C33" s="8">
        <v>0.1</v>
      </c>
      <c r="D33" s="54">
        <f>C33*(1-D30)</f>
        <v>8.3333333333333343E-2</v>
      </c>
      <c r="E33" s="54">
        <f>D33*(1-E30)+0.05</f>
        <v>0.12142857142857144</v>
      </c>
      <c r="F33" s="54">
        <f>E33*(1-F30)</f>
        <v>0.10928571428571431</v>
      </c>
    </row>
    <row r="34" spans="1:8">
      <c r="A34" s="4" t="s">
        <v>301</v>
      </c>
      <c r="B34" s="6" t="s">
        <v>454</v>
      </c>
      <c r="C34" s="6" t="s">
        <v>455</v>
      </c>
      <c r="D34" s="6" t="s">
        <v>456</v>
      </c>
      <c r="E34" s="6" t="s">
        <v>457</v>
      </c>
      <c r="F34" s="6" t="s">
        <v>460</v>
      </c>
    </row>
    <row r="36" spans="1:8">
      <c r="A36" s="14" t="s">
        <v>303</v>
      </c>
      <c r="B36" s="3"/>
      <c r="C36" s="3"/>
      <c r="D36" s="3"/>
      <c r="E36" s="3"/>
      <c r="F36" s="3"/>
      <c r="G36" s="3"/>
      <c r="H36" s="3"/>
    </row>
    <row r="37" spans="1:8">
      <c r="A37" s="15" t="s">
        <v>304</v>
      </c>
      <c r="B37" s="6"/>
      <c r="C37" s="6"/>
      <c r="D37" s="6"/>
    </row>
    <row r="38" spans="1:8">
      <c r="A38" s="4" t="s">
        <v>305</v>
      </c>
      <c r="B38" s="9">
        <v>250000000</v>
      </c>
      <c r="C38" s="6"/>
      <c r="D38" s="6"/>
    </row>
    <row r="39" spans="1:8">
      <c r="A39" s="4" t="s">
        <v>306</v>
      </c>
      <c r="B39" s="55">
        <v>8</v>
      </c>
      <c r="C39" s="6"/>
      <c r="D39" s="6"/>
    </row>
    <row r="40" spans="1:8">
      <c r="A40" s="4" t="s">
        <v>307</v>
      </c>
      <c r="B40" s="41">
        <f>SUM(B27:F27)</f>
        <v>177000000</v>
      </c>
      <c r="C40" s="6"/>
      <c r="D40" s="6"/>
    </row>
    <row r="41" spans="1:8">
      <c r="A41" s="4" t="s">
        <v>308</v>
      </c>
      <c r="B41" s="54">
        <f>F31</f>
        <v>0.31928571428571439</v>
      </c>
      <c r="C41" s="6"/>
      <c r="D41" s="6"/>
    </row>
    <row r="42" spans="1:8">
      <c r="A42" s="4" t="s">
        <v>309</v>
      </c>
      <c r="B42" s="54">
        <f>F32</f>
        <v>0.57142857142857162</v>
      </c>
      <c r="C42" s="6"/>
      <c r="D42" s="6"/>
    </row>
    <row r="43" spans="1:8">
      <c r="A43" s="4" t="s">
        <v>310</v>
      </c>
      <c r="B43" s="54">
        <f>F33</f>
        <v>0.10928571428571431</v>
      </c>
      <c r="C43" s="6"/>
      <c r="D43" s="6"/>
    </row>
    <row r="44" spans="1:8">
      <c r="A44" s="4"/>
      <c r="B44" s="6"/>
      <c r="C44" s="6"/>
      <c r="D44" s="6"/>
    </row>
    <row r="45" spans="1:8">
      <c r="A45" s="15" t="s">
        <v>311</v>
      </c>
      <c r="B45" s="6"/>
      <c r="C45" s="6"/>
      <c r="D45" s="6"/>
    </row>
    <row r="46" spans="1:8">
      <c r="A46" s="12"/>
      <c r="B46" s="13" t="s">
        <v>312</v>
      </c>
      <c r="C46" s="13" t="s">
        <v>313</v>
      </c>
      <c r="D46" s="13" t="s">
        <v>314</v>
      </c>
    </row>
    <row r="47" spans="1:8">
      <c r="A47" s="4" t="s">
        <v>315</v>
      </c>
      <c r="B47" s="10">
        <v>10</v>
      </c>
      <c r="C47" s="10">
        <v>15</v>
      </c>
      <c r="D47" s="10">
        <v>20</v>
      </c>
    </row>
    <row r="48" spans="1:8">
      <c r="A48" s="4" t="s">
        <v>316</v>
      </c>
      <c r="B48" s="50">
        <f>B38*B47</f>
        <v>2500000000</v>
      </c>
      <c r="C48" s="63">
        <f>B38*C47</f>
        <v>3750000000</v>
      </c>
      <c r="D48" s="50">
        <f>B38*D47</f>
        <v>5000000000</v>
      </c>
    </row>
    <row r="49" spans="1:8">
      <c r="A49" s="4"/>
      <c r="B49" s="6"/>
      <c r="C49" s="6"/>
      <c r="D49" s="6"/>
    </row>
    <row r="50" spans="1:8">
      <c r="A50" s="4" t="s">
        <v>317</v>
      </c>
      <c r="B50" s="43">
        <f>B48*B41</f>
        <v>798214285.71428597</v>
      </c>
      <c r="C50" s="43">
        <f>C48*B41</f>
        <v>1197321428.571429</v>
      </c>
      <c r="D50" s="43">
        <f>D48*B41</f>
        <v>1596428571.4285719</v>
      </c>
    </row>
    <row r="51" spans="1:8">
      <c r="A51" s="4" t="s">
        <v>318</v>
      </c>
      <c r="B51" s="43">
        <f>B48*B42</f>
        <v>1428571428.571429</v>
      </c>
      <c r="C51" s="43">
        <f>C48*B42</f>
        <v>2142857142.8571436</v>
      </c>
      <c r="D51" s="43">
        <f>D48*B42</f>
        <v>2857142857.142858</v>
      </c>
    </row>
    <row r="52" spans="1:8">
      <c r="A52" s="4" t="s">
        <v>319</v>
      </c>
      <c r="B52" s="48">
        <f>B48*B43</f>
        <v>273214285.71428579</v>
      </c>
      <c r="C52" s="48">
        <f>C48*B43</f>
        <v>409821428.57142866</v>
      </c>
      <c r="D52" s="48">
        <f>D48*B43</f>
        <v>546428571.42857158</v>
      </c>
    </row>
    <row r="53" spans="1:8">
      <c r="A53" s="4"/>
      <c r="B53" s="6"/>
      <c r="C53" s="6"/>
      <c r="D53" s="6"/>
    </row>
    <row r="54" spans="1:8">
      <c r="A54" s="4" t="s">
        <v>320</v>
      </c>
      <c r="B54" s="60">
        <f>B51/B40</f>
        <v>8.0710250201775651</v>
      </c>
      <c r="C54" s="62">
        <f>C51/B40</f>
        <v>12.106537530266348</v>
      </c>
      <c r="D54" s="60">
        <f>D51/B40</f>
        <v>16.14205004035513</v>
      </c>
    </row>
    <row r="55" spans="1:8">
      <c r="A55" s="4" t="s">
        <v>321</v>
      </c>
      <c r="B55" s="46">
        <f>(B51/B40)^(1/B39)-1</f>
        <v>0.29827318377270307</v>
      </c>
      <c r="C55" s="46">
        <f>(C51/B40)^(1/B39)-1</f>
        <v>0.36576976461217914</v>
      </c>
      <c r="D55" s="46">
        <f>(D51/B40)^(1/B39)-1</f>
        <v>0.41577694601607584</v>
      </c>
    </row>
    <row r="56" spans="1:8" ht="17" thickBot="1">
      <c r="A56" s="4" t="s">
        <v>322</v>
      </c>
      <c r="B56" s="64">
        <f>B50</f>
        <v>798214285.71428597</v>
      </c>
      <c r="C56" s="64">
        <f>C50</f>
        <v>1197321428.571429</v>
      </c>
      <c r="D56" s="64">
        <f>D50</f>
        <v>1596428571.4285719</v>
      </c>
    </row>
    <row r="57" spans="1:8" ht="17" thickTop="1"/>
    <row r="58" spans="1:8">
      <c r="A58" s="14" t="s">
        <v>323</v>
      </c>
      <c r="B58" s="3"/>
      <c r="C58" s="3"/>
      <c r="D58" s="3"/>
      <c r="E58" s="3"/>
      <c r="F58" s="3"/>
      <c r="G58" s="3"/>
      <c r="H58" s="3"/>
    </row>
    <row r="59" spans="1:8">
      <c r="A59" s="15" t="s">
        <v>324</v>
      </c>
      <c r="B59" s="4"/>
    </row>
    <row r="60" spans="1:8">
      <c r="A60" s="4" t="s">
        <v>74</v>
      </c>
      <c r="B60" s="65">
        <f>'Global Assumptions'!B28</f>
        <v>12.99</v>
      </c>
    </row>
    <row r="61" spans="1:8">
      <c r="A61" s="4" t="s">
        <v>117</v>
      </c>
      <c r="B61" s="57">
        <f>'Global Assumptions'!B112</f>
        <v>260</v>
      </c>
    </row>
    <row r="62" spans="1:8">
      <c r="A62" s="4" t="s">
        <v>325</v>
      </c>
      <c r="B62" s="57">
        <f>'Global Assumptions'!B113</f>
        <v>71</v>
      </c>
    </row>
    <row r="63" spans="1:8">
      <c r="A63" s="4" t="s">
        <v>326</v>
      </c>
      <c r="B63" s="66">
        <f>B61/B62</f>
        <v>3.6619718309859155</v>
      </c>
    </row>
    <row r="64" spans="1:8">
      <c r="A64" s="4" t="s">
        <v>327</v>
      </c>
      <c r="B64" s="67">
        <f>'Global Assumptions'!B118</f>
        <v>5.5</v>
      </c>
    </row>
    <row r="65" spans="1:2">
      <c r="A65" s="4" t="s">
        <v>328</v>
      </c>
      <c r="B65" s="57">
        <f>'Global Assumptions'!B7*'Global Assumptions'!B8*12</f>
        <v>3000</v>
      </c>
    </row>
    <row r="66" spans="1:2">
      <c r="A66" s="4" t="s">
        <v>329</v>
      </c>
      <c r="B66" s="57">
        <f>'Global Assumptions'!B10</f>
        <v>800</v>
      </c>
    </row>
    <row r="67" spans="1:2">
      <c r="A67" s="4" t="s">
        <v>330</v>
      </c>
      <c r="B67" s="67">
        <f>B66/(B65/12)</f>
        <v>3.2</v>
      </c>
    </row>
    <row r="68" spans="1:2">
      <c r="A68" s="4"/>
      <c r="B68" s="4"/>
    </row>
    <row r="69" spans="1:2">
      <c r="A69" s="15" t="s">
        <v>331</v>
      </c>
      <c r="B69" s="4"/>
    </row>
    <row r="70" spans="1:2">
      <c r="A70" s="4" t="s">
        <v>332</v>
      </c>
      <c r="B70" s="68">
        <v>28900</v>
      </c>
    </row>
    <row r="71" spans="1:2">
      <c r="A71" s="4" t="s">
        <v>333</v>
      </c>
      <c r="B71" s="58">
        <f>'3-Yr Summary P&amp;L'!D4/B70</f>
        <v>0.14480968858131488</v>
      </c>
    </row>
    <row r="72" spans="1:2">
      <c r="A72" s="4" t="s">
        <v>334</v>
      </c>
      <c r="B72" s="69">
        <v>60000000</v>
      </c>
    </row>
    <row r="73" spans="1:2">
      <c r="A73" s="4" t="s">
        <v>335</v>
      </c>
      <c r="B73" s="70">
        <f>'3-Yr Summary P&amp;L'!D6/B72</f>
        <v>1.2847500000000001E-3</v>
      </c>
    </row>
    <row r="74" spans="1:2">
      <c r="A74" s="4"/>
      <c r="B74" s="4"/>
    </row>
    <row r="75" spans="1:2">
      <c r="A75" s="15" t="s">
        <v>336</v>
      </c>
      <c r="B75" s="4"/>
    </row>
    <row r="76" spans="1:2">
      <c r="A76" s="4" t="s">
        <v>337</v>
      </c>
      <c r="B76" s="57">
        <f>B40</f>
        <v>177000000</v>
      </c>
    </row>
    <row r="77" spans="1:2">
      <c r="A77" s="4" t="s">
        <v>338</v>
      </c>
      <c r="B77" s="71">
        <f>'3-Yr Summary P&amp;L'!D17/B40</f>
        <v>0.13881926440677966</v>
      </c>
    </row>
    <row r="78" spans="1:2">
      <c r="A78" s="4" t="s">
        <v>339</v>
      </c>
      <c r="B78" s="71">
        <f>IF('3-Yr Summary P&amp;L'!B45&lt;0,-'3-Yr Summary P&amp;L'!B45/'3-Yr Summary P&amp;L'!B17,"N/A")</f>
        <v>8.016723129848085</v>
      </c>
    </row>
    <row r="79" spans="1:2">
      <c r="A79" s="4" t="s">
        <v>340</v>
      </c>
      <c r="B79" s="4">
        <f>IF('3-Yr Summary P&amp;L'!D45&lt;0,-'3-Yr Summary P&amp;L'!D45/'3-Yr Summary P&amp;L'!D17,"Profitable")</f>
        <v>9.9796151039750911E-2</v>
      </c>
    </row>
    <row r="80" spans="1:2">
      <c r="A80" s="4" t="s">
        <v>341</v>
      </c>
      <c r="B80" s="4" t="s">
        <v>348</v>
      </c>
    </row>
    <row r="81" spans="1:2">
      <c r="A81" s="4"/>
      <c r="B81" s="4"/>
    </row>
    <row r="82" spans="1:2">
      <c r="A82" s="15" t="s">
        <v>342</v>
      </c>
      <c r="B82" s="4"/>
    </row>
    <row r="83" spans="1:2">
      <c r="A83" s="4" t="s">
        <v>343</v>
      </c>
      <c r="B83" s="7" t="s">
        <v>349</v>
      </c>
    </row>
    <row r="84" spans="1:2">
      <c r="A84" s="4" t="s">
        <v>344</v>
      </c>
      <c r="B84" s="7" t="s">
        <v>350</v>
      </c>
    </row>
    <row r="85" spans="1:2">
      <c r="A85" s="4" t="s">
        <v>345</v>
      </c>
      <c r="B85" s="7" t="s">
        <v>351</v>
      </c>
    </row>
    <row r="86" spans="1:2">
      <c r="A86" s="4" t="s">
        <v>346</v>
      </c>
      <c r="B86" s="7" t="s">
        <v>352</v>
      </c>
    </row>
    <row r="87" spans="1:2">
      <c r="A87" s="4" t="s">
        <v>347</v>
      </c>
      <c r="B87" s="7" t="s">
        <v>353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EE8C8-4ACB-1246-AD7C-8FBA1A02E831}">
  <dimension ref="A1:D118"/>
  <sheetViews>
    <sheetView workbookViewId="0">
      <pane ySplit="2" topLeftCell="A59" activePane="bottomLeft" state="frozen"/>
      <selection pane="bottomLeft" activeCell="D96" sqref="D96"/>
    </sheetView>
  </sheetViews>
  <sheetFormatPr baseColWidth="10" defaultRowHeight="16"/>
  <cols>
    <col min="1" max="1" width="46.6640625" customWidth="1"/>
    <col min="2" max="2" width="18.33203125" customWidth="1"/>
    <col min="3" max="3" width="11.6640625" customWidth="1"/>
    <col min="4" max="4" width="100" customWidth="1"/>
  </cols>
  <sheetData>
    <row r="1" spans="1:4" ht="18">
      <c r="A1" s="1" t="s">
        <v>0</v>
      </c>
      <c r="B1" s="2"/>
      <c r="C1" s="2"/>
      <c r="D1" s="2"/>
    </row>
    <row r="2" spans="1:4">
      <c r="A2" s="12" t="s">
        <v>1</v>
      </c>
      <c r="B2" s="13" t="s">
        <v>2</v>
      </c>
      <c r="C2" s="13" t="s">
        <v>3</v>
      </c>
      <c r="D2" s="12" t="s">
        <v>4</v>
      </c>
    </row>
    <row r="3" spans="1:4">
      <c r="A3" s="14" t="s">
        <v>5</v>
      </c>
      <c r="B3" s="3"/>
      <c r="C3" s="3"/>
      <c r="D3" s="3"/>
    </row>
    <row r="4" spans="1:4">
      <c r="A4" s="15" t="s">
        <v>42</v>
      </c>
    </row>
    <row r="5" spans="1:4">
      <c r="A5" s="4" t="s">
        <v>43</v>
      </c>
      <c r="B5" s="24">
        <v>1</v>
      </c>
      <c r="C5" s="6" t="s">
        <v>44</v>
      </c>
      <c r="D5" s="7" t="s">
        <v>415</v>
      </c>
    </row>
    <row r="6" spans="1:4">
      <c r="A6" s="4" t="s">
        <v>192</v>
      </c>
      <c r="B6" s="24" t="s">
        <v>193</v>
      </c>
      <c r="C6" s="6" t="s">
        <v>194</v>
      </c>
      <c r="D6" s="7" t="s">
        <v>416</v>
      </c>
    </row>
    <row r="7" spans="1:4">
      <c r="A7" s="4" t="s">
        <v>45</v>
      </c>
      <c r="B7" s="24">
        <v>50</v>
      </c>
      <c r="C7" s="6" t="s">
        <v>6</v>
      </c>
      <c r="D7" s="7" t="s">
        <v>417</v>
      </c>
    </row>
    <row r="8" spans="1:4">
      <c r="A8" s="4" t="s">
        <v>46</v>
      </c>
      <c r="B8" s="25">
        <v>5</v>
      </c>
      <c r="C8" s="6" t="s">
        <v>47</v>
      </c>
      <c r="D8" s="7" t="s">
        <v>418</v>
      </c>
    </row>
    <row r="9" spans="1:4">
      <c r="A9" s="4" t="s">
        <v>195</v>
      </c>
      <c r="B9" s="26">
        <v>0.4</v>
      </c>
      <c r="C9" s="6" t="s">
        <v>7</v>
      </c>
      <c r="D9" s="7" t="s">
        <v>419</v>
      </c>
    </row>
    <row r="10" spans="1:4">
      <c r="A10" s="4" t="s">
        <v>48</v>
      </c>
      <c r="B10" s="27">
        <v>800</v>
      </c>
      <c r="C10" s="6" t="s">
        <v>49</v>
      </c>
      <c r="D10" s="7" t="s">
        <v>453</v>
      </c>
    </row>
    <row r="11" spans="1:4">
      <c r="A11" s="16"/>
      <c r="B11" s="28"/>
    </row>
    <row r="12" spans="1:4">
      <c r="A12" s="15" t="s">
        <v>50</v>
      </c>
      <c r="B12" s="28"/>
    </row>
    <row r="13" spans="1:4">
      <c r="A13" s="4" t="s">
        <v>9</v>
      </c>
      <c r="B13" s="24">
        <v>1</v>
      </c>
      <c r="C13" s="6" t="s">
        <v>10</v>
      </c>
      <c r="D13" s="7" t="s">
        <v>420</v>
      </c>
    </row>
    <row r="14" spans="1:4">
      <c r="A14" s="4" t="s">
        <v>51</v>
      </c>
      <c r="B14" s="24">
        <v>100</v>
      </c>
      <c r="C14" s="6" t="s">
        <v>52</v>
      </c>
      <c r="D14" s="7" t="s">
        <v>421</v>
      </c>
    </row>
    <row r="15" spans="1:4">
      <c r="A15" s="4" t="s">
        <v>53</v>
      </c>
      <c r="B15" s="29">
        <v>0.3</v>
      </c>
      <c r="C15" s="6" t="s">
        <v>11</v>
      </c>
      <c r="D15" s="7" t="s">
        <v>54</v>
      </c>
    </row>
    <row r="16" spans="1:4">
      <c r="A16" s="4" t="s">
        <v>55</v>
      </c>
      <c r="B16" s="29">
        <v>0.06</v>
      </c>
      <c r="C16" s="6" t="s">
        <v>7</v>
      </c>
      <c r="D16" s="7" t="s">
        <v>422</v>
      </c>
    </row>
    <row r="17" spans="1:4">
      <c r="A17" s="4" t="s">
        <v>56</v>
      </c>
      <c r="B17" s="27">
        <v>5</v>
      </c>
      <c r="C17" s="6" t="s">
        <v>57</v>
      </c>
      <c r="D17" s="7"/>
    </row>
    <row r="18" spans="1:4">
      <c r="A18" s="4" t="s">
        <v>58</v>
      </c>
      <c r="B18" s="26">
        <v>0.7</v>
      </c>
      <c r="C18" s="6" t="s">
        <v>7</v>
      </c>
      <c r="D18" s="7" t="s">
        <v>59</v>
      </c>
    </row>
    <row r="19" spans="1:4">
      <c r="A19" s="4" t="s">
        <v>60</v>
      </c>
      <c r="B19" s="26">
        <v>0.3</v>
      </c>
      <c r="C19" s="6" t="s">
        <v>7</v>
      </c>
      <c r="D19" s="7" t="s">
        <v>61</v>
      </c>
    </row>
    <row r="20" spans="1:4">
      <c r="B20" s="28"/>
    </row>
    <row r="21" spans="1:4">
      <c r="A21" s="14" t="s">
        <v>62</v>
      </c>
      <c r="B21" s="28"/>
      <c r="C21" s="3"/>
      <c r="D21" s="3"/>
    </row>
    <row r="22" spans="1:4">
      <c r="A22" s="15" t="s">
        <v>63</v>
      </c>
      <c r="B22" s="28"/>
    </row>
    <row r="23" spans="1:4">
      <c r="A23" s="4" t="s">
        <v>64</v>
      </c>
      <c r="B23" s="25">
        <v>0</v>
      </c>
      <c r="C23" s="6" t="s">
        <v>12</v>
      </c>
      <c r="D23" s="7" t="s">
        <v>65</v>
      </c>
    </row>
    <row r="24" spans="1:4">
      <c r="A24" s="4" t="s">
        <v>66</v>
      </c>
      <c r="B24" s="27">
        <v>120</v>
      </c>
      <c r="C24" s="6" t="s">
        <v>13</v>
      </c>
      <c r="D24" s="7" t="s">
        <v>67</v>
      </c>
    </row>
    <row r="25" spans="1:4">
      <c r="A25" s="4" t="s">
        <v>68</v>
      </c>
      <c r="B25" s="30">
        <v>9.99</v>
      </c>
      <c r="C25" s="6" t="s">
        <v>12</v>
      </c>
      <c r="D25" s="7" t="s">
        <v>69</v>
      </c>
    </row>
    <row r="26" spans="1:4">
      <c r="A26" s="4" t="s">
        <v>70</v>
      </c>
      <c r="B26" s="27">
        <v>240</v>
      </c>
      <c r="C26" s="6" t="s">
        <v>13</v>
      </c>
      <c r="D26" s="7" t="s">
        <v>71</v>
      </c>
    </row>
    <row r="27" spans="1:4">
      <c r="A27" s="4" t="s">
        <v>72</v>
      </c>
      <c r="B27" s="30">
        <v>19.989999999999998</v>
      </c>
      <c r="C27" s="6" t="s">
        <v>12</v>
      </c>
      <c r="D27" s="7" t="s">
        <v>73</v>
      </c>
    </row>
    <row r="28" spans="1:4">
      <c r="A28" s="4" t="s">
        <v>74</v>
      </c>
      <c r="B28" s="30">
        <v>12.99</v>
      </c>
      <c r="C28" s="6" t="s">
        <v>15</v>
      </c>
      <c r="D28" s="7" t="s">
        <v>448</v>
      </c>
    </row>
    <row r="29" spans="1:4">
      <c r="A29" s="4" t="s">
        <v>75</v>
      </c>
      <c r="B29" s="30">
        <v>155.88</v>
      </c>
      <c r="C29" s="6" t="s">
        <v>76</v>
      </c>
      <c r="D29" s="7" t="s">
        <v>77</v>
      </c>
    </row>
    <row r="30" spans="1:4">
      <c r="A30" s="16"/>
      <c r="B30" s="28"/>
    </row>
    <row r="31" spans="1:4">
      <c r="A31" s="15" t="s">
        <v>14</v>
      </c>
      <c r="B31" s="28"/>
    </row>
    <row r="32" spans="1:4">
      <c r="A32" s="4" t="s">
        <v>78</v>
      </c>
      <c r="B32" s="25">
        <v>0.85</v>
      </c>
      <c r="C32" s="6" t="s">
        <v>79</v>
      </c>
      <c r="D32" s="7" t="s">
        <v>80</v>
      </c>
    </row>
    <row r="33" spans="1:4">
      <c r="A33" s="4" t="s">
        <v>81</v>
      </c>
      <c r="B33" s="26">
        <v>0.25</v>
      </c>
      <c r="C33" s="6" t="s">
        <v>7</v>
      </c>
      <c r="D33" s="7" t="s">
        <v>82</v>
      </c>
    </row>
    <row r="34" spans="1:4">
      <c r="A34" s="4" t="s">
        <v>83</v>
      </c>
      <c r="B34" s="25">
        <v>0.65</v>
      </c>
      <c r="C34" s="6" t="s">
        <v>79</v>
      </c>
      <c r="D34" s="7" t="s">
        <v>84</v>
      </c>
    </row>
    <row r="35" spans="1:4">
      <c r="A35" s="4" t="s">
        <v>16</v>
      </c>
      <c r="B35" s="29">
        <v>2.9000000000000001E-2</v>
      </c>
      <c r="C35" s="6" t="s">
        <v>7</v>
      </c>
      <c r="D35" s="7" t="s">
        <v>85</v>
      </c>
    </row>
    <row r="36" spans="1:4">
      <c r="A36" s="4" t="s">
        <v>86</v>
      </c>
      <c r="B36" s="29">
        <v>0.02</v>
      </c>
      <c r="C36" s="6" t="s">
        <v>7</v>
      </c>
      <c r="D36" s="7" t="s">
        <v>87</v>
      </c>
    </row>
    <row r="37" spans="1:4">
      <c r="A37" s="16"/>
      <c r="B37" s="28"/>
    </row>
    <row r="38" spans="1:4">
      <c r="A38" s="15" t="s">
        <v>17</v>
      </c>
      <c r="B38" s="28"/>
    </row>
    <row r="39" spans="1:4">
      <c r="A39" s="4" t="s">
        <v>88</v>
      </c>
      <c r="B39" s="29">
        <v>0.05</v>
      </c>
      <c r="C39" s="6" t="s">
        <v>18</v>
      </c>
      <c r="D39" s="7" t="s">
        <v>450</v>
      </c>
    </row>
    <row r="40" spans="1:4">
      <c r="A40" s="4" t="s">
        <v>89</v>
      </c>
      <c r="B40" s="29">
        <v>0.08</v>
      </c>
      <c r="C40" s="6" t="s">
        <v>18</v>
      </c>
      <c r="D40" s="7" t="s">
        <v>423</v>
      </c>
    </row>
    <row r="41" spans="1:4">
      <c r="A41" s="4" t="s">
        <v>90</v>
      </c>
      <c r="B41" s="4">
        <v>20</v>
      </c>
      <c r="C41" s="6" t="s">
        <v>19</v>
      </c>
      <c r="D41" s="7" t="s">
        <v>449</v>
      </c>
    </row>
    <row r="42" spans="1:4">
      <c r="B42" s="28"/>
    </row>
    <row r="43" spans="1:4">
      <c r="A43" s="14" t="s">
        <v>20</v>
      </c>
      <c r="B43" s="28"/>
      <c r="C43" s="3"/>
      <c r="D43" s="3"/>
    </row>
    <row r="44" spans="1:4">
      <c r="A44" s="15" t="s">
        <v>21</v>
      </c>
      <c r="B44" s="28"/>
    </row>
    <row r="45" spans="1:4">
      <c r="A45" s="4" t="s">
        <v>22</v>
      </c>
      <c r="B45" s="27">
        <v>7000</v>
      </c>
      <c r="C45" s="6" t="s">
        <v>12</v>
      </c>
      <c r="D45" s="7" t="s">
        <v>215</v>
      </c>
    </row>
    <row r="46" spans="1:4">
      <c r="A46" s="4" t="s">
        <v>23</v>
      </c>
      <c r="B46" s="24">
        <v>2</v>
      </c>
      <c r="C46" s="6" t="s">
        <v>24</v>
      </c>
      <c r="D46" s="7" t="s">
        <v>91</v>
      </c>
    </row>
    <row r="47" spans="1:4">
      <c r="A47" s="4" t="s">
        <v>25</v>
      </c>
      <c r="B47" s="27">
        <v>10000</v>
      </c>
      <c r="C47" s="6" t="s">
        <v>12</v>
      </c>
      <c r="D47" s="7" t="s">
        <v>214</v>
      </c>
    </row>
    <row r="48" spans="1:4">
      <c r="A48" s="4" t="s">
        <v>26</v>
      </c>
      <c r="B48" s="24">
        <v>2</v>
      </c>
      <c r="C48" s="6" t="s">
        <v>24</v>
      </c>
      <c r="D48" s="7" t="s">
        <v>92</v>
      </c>
    </row>
    <row r="49" spans="1:4">
      <c r="A49" s="4" t="s">
        <v>93</v>
      </c>
      <c r="B49" s="24">
        <v>7</v>
      </c>
      <c r="C49" s="6" t="s">
        <v>10</v>
      </c>
      <c r="D49" s="7" t="s">
        <v>94</v>
      </c>
    </row>
    <row r="50" spans="1:4">
      <c r="A50" s="4" t="s">
        <v>27</v>
      </c>
      <c r="B50" s="27">
        <v>6000</v>
      </c>
      <c r="C50" s="6" t="s">
        <v>12</v>
      </c>
      <c r="D50" s="7" t="s">
        <v>191</v>
      </c>
    </row>
    <row r="51" spans="1:4">
      <c r="A51" s="4" t="s">
        <v>228</v>
      </c>
      <c r="B51" s="80">
        <v>5</v>
      </c>
      <c r="C51" s="6" t="s">
        <v>10</v>
      </c>
      <c r="D51" s="7" t="s">
        <v>229</v>
      </c>
    </row>
    <row r="52" spans="1:4">
      <c r="A52" s="4" t="s">
        <v>230</v>
      </c>
      <c r="B52" s="27">
        <v>6000</v>
      </c>
      <c r="C52" s="6" t="s">
        <v>12</v>
      </c>
      <c r="D52" s="7" t="s">
        <v>231</v>
      </c>
    </row>
    <row r="53" spans="1:4">
      <c r="A53" s="4" t="s">
        <v>232</v>
      </c>
      <c r="B53" s="80">
        <v>8</v>
      </c>
      <c r="C53" s="6" t="s">
        <v>10</v>
      </c>
      <c r="D53" s="7" t="s">
        <v>233</v>
      </c>
    </row>
    <row r="54" spans="1:4">
      <c r="A54" s="4" t="s">
        <v>234</v>
      </c>
      <c r="B54" s="27">
        <v>8000</v>
      </c>
      <c r="C54" s="6" t="s">
        <v>12</v>
      </c>
      <c r="D54" s="7" t="s">
        <v>235</v>
      </c>
    </row>
    <row r="55" spans="1:4">
      <c r="A55" s="4" t="s">
        <v>236</v>
      </c>
      <c r="B55" s="80">
        <v>10</v>
      </c>
      <c r="C55" s="6" t="s">
        <v>10</v>
      </c>
      <c r="D55" s="7" t="s">
        <v>237</v>
      </c>
    </row>
    <row r="56" spans="1:4">
      <c r="A56" s="4" t="s">
        <v>238</v>
      </c>
      <c r="B56" s="27">
        <v>4000</v>
      </c>
      <c r="C56" s="6" t="s">
        <v>12</v>
      </c>
      <c r="D56" s="7" t="s">
        <v>239</v>
      </c>
    </row>
    <row r="57" spans="1:4">
      <c r="A57" s="4" t="s">
        <v>240</v>
      </c>
      <c r="B57" s="80">
        <v>9</v>
      </c>
      <c r="C57" s="6" t="s">
        <v>10</v>
      </c>
      <c r="D57" s="7" t="s">
        <v>241</v>
      </c>
    </row>
    <row r="58" spans="1:4">
      <c r="A58" s="4" t="s">
        <v>242</v>
      </c>
      <c r="B58" s="27">
        <v>5000</v>
      </c>
      <c r="C58" s="6" t="s">
        <v>12</v>
      </c>
      <c r="D58" s="7" t="s">
        <v>243</v>
      </c>
    </row>
    <row r="59" spans="1:4">
      <c r="A59" s="4" t="s">
        <v>95</v>
      </c>
      <c r="B59" s="29">
        <v>0.2</v>
      </c>
      <c r="C59" s="6" t="s">
        <v>7</v>
      </c>
      <c r="D59" s="7" t="s">
        <v>96</v>
      </c>
    </row>
    <row r="60" spans="1:4">
      <c r="A60" s="16"/>
      <c r="B60" s="28"/>
    </row>
    <row r="61" spans="1:4">
      <c r="A61" s="15" t="s">
        <v>28</v>
      </c>
      <c r="B61" s="28"/>
    </row>
    <row r="62" spans="1:4">
      <c r="A62" s="4" t="s">
        <v>29</v>
      </c>
      <c r="B62" s="27">
        <v>2000</v>
      </c>
      <c r="C62" s="6" t="s">
        <v>12</v>
      </c>
      <c r="D62" s="7" t="s">
        <v>97</v>
      </c>
    </row>
    <row r="63" spans="1:4">
      <c r="A63" s="4" t="s">
        <v>30</v>
      </c>
      <c r="B63" s="27">
        <v>1000</v>
      </c>
      <c r="C63" s="6" t="s">
        <v>12</v>
      </c>
      <c r="D63" s="7" t="s">
        <v>98</v>
      </c>
    </row>
    <row r="64" spans="1:4">
      <c r="A64" s="4" t="s">
        <v>31</v>
      </c>
      <c r="B64" s="27">
        <v>2000</v>
      </c>
      <c r="C64" s="6" t="s">
        <v>12</v>
      </c>
      <c r="D64" s="7" t="s">
        <v>99</v>
      </c>
    </row>
    <row r="65" spans="1:4">
      <c r="A65" s="4" t="s">
        <v>100</v>
      </c>
      <c r="B65" s="27">
        <v>1200</v>
      </c>
      <c r="C65" s="6" t="s">
        <v>12</v>
      </c>
      <c r="D65" s="7" t="s">
        <v>101</v>
      </c>
    </row>
    <row r="66" spans="1:4">
      <c r="A66" s="33" t="s">
        <v>244</v>
      </c>
      <c r="B66" s="34">
        <v>0</v>
      </c>
      <c r="C66" s="35" t="s">
        <v>12</v>
      </c>
      <c r="D66" s="36" t="s">
        <v>245</v>
      </c>
    </row>
    <row r="67" spans="1:4">
      <c r="A67" s="4"/>
      <c r="B67" s="27"/>
      <c r="C67" s="6"/>
      <c r="D67" s="7"/>
    </row>
    <row r="68" spans="1:4">
      <c r="A68" s="15" t="s">
        <v>217</v>
      </c>
      <c r="B68" s="27"/>
      <c r="C68" s="6"/>
      <c r="D68" s="7"/>
    </row>
    <row r="69" spans="1:4">
      <c r="A69" s="4" t="s">
        <v>218</v>
      </c>
      <c r="B69" s="27">
        <v>5000</v>
      </c>
      <c r="C69" s="6" t="s">
        <v>12</v>
      </c>
      <c r="D69" s="7" t="s">
        <v>446</v>
      </c>
    </row>
    <row r="70" spans="1:4">
      <c r="A70" s="4" t="s">
        <v>219</v>
      </c>
      <c r="B70" s="27">
        <v>3000</v>
      </c>
      <c r="C70" s="6" t="s">
        <v>12</v>
      </c>
      <c r="D70" s="7" t="s">
        <v>451</v>
      </c>
    </row>
    <row r="71" spans="1:4">
      <c r="A71" s="4" t="s">
        <v>220</v>
      </c>
      <c r="B71" s="29">
        <v>0.25</v>
      </c>
      <c r="C71" s="6" t="s">
        <v>11</v>
      </c>
      <c r="D71" s="7" t="s">
        <v>445</v>
      </c>
    </row>
    <row r="72" spans="1:4">
      <c r="A72" s="4" t="s">
        <v>221</v>
      </c>
      <c r="B72" s="25">
        <v>5</v>
      </c>
      <c r="C72" s="6" t="s">
        <v>57</v>
      </c>
      <c r="D72" s="7" t="s">
        <v>222</v>
      </c>
    </row>
    <row r="73" spans="1:4">
      <c r="A73" s="4" t="s">
        <v>223</v>
      </c>
      <c r="B73" s="32">
        <v>30</v>
      </c>
      <c r="C73" s="6" t="s">
        <v>224</v>
      </c>
      <c r="D73" s="7" t="s">
        <v>225</v>
      </c>
    </row>
    <row r="74" spans="1:4">
      <c r="A74" s="4" t="s">
        <v>226</v>
      </c>
      <c r="B74" s="29">
        <v>0.1</v>
      </c>
      <c r="C74" s="6" t="s">
        <v>11</v>
      </c>
      <c r="D74" s="7" t="s">
        <v>227</v>
      </c>
    </row>
    <row r="75" spans="1:4">
      <c r="B75" s="28"/>
    </row>
    <row r="76" spans="1:4">
      <c r="A76" s="14" t="s">
        <v>32</v>
      </c>
      <c r="B76" s="28"/>
      <c r="C76" s="3"/>
      <c r="D76" s="3"/>
    </row>
    <row r="77" spans="1:4">
      <c r="A77" s="4" t="s">
        <v>33</v>
      </c>
      <c r="B77" s="27">
        <v>2000000</v>
      </c>
      <c r="C77" s="6" t="s">
        <v>8</v>
      </c>
      <c r="D77" s="7" t="s">
        <v>424</v>
      </c>
    </row>
    <row r="78" spans="1:4">
      <c r="A78" s="4" t="s">
        <v>34</v>
      </c>
      <c r="B78" s="27">
        <v>15000</v>
      </c>
      <c r="C78" s="6" t="s">
        <v>8</v>
      </c>
      <c r="D78" s="7" t="s">
        <v>102</v>
      </c>
    </row>
    <row r="79" spans="1:4">
      <c r="A79" s="4" t="s">
        <v>35</v>
      </c>
      <c r="B79" s="27">
        <v>50000</v>
      </c>
      <c r="C79" s="6" t="s">
        <v>8</v>
      </c>
      <c r="D79" s="7" t="s">
        <v>452</v>
      </c>
    </row>
    <row r="80" spans="1:4">
      <c r="A80" s="16"/>
      <c r="B80" s="28"/>
    </row>
    <row r="81" spans="1:4">
      <c r="A81" s="4" t="s">
        <v>103</v>
      </c>
      <c r="B81" s="31">
        <f>B77-B78</f>
        <v>1985000</v>
      </c>
      <c r="C81" s="6" t="s">
        <v>36</v>
      </c>
      <c r="D81" s="7" t="s">
        <v>425</v>
      </c>
    </row>
    <row r="82" spans="1:4">
      <c r="B82" s="28"/>
    </row>
    <row r="83" spans="1:4">
      <c r="A83" s="14" t="s">
        <v>37</v>
      </c>
      <c r="B83" s="28"/>
      <c r="C83" s="3"/>
      <c r="D83" s="3"/>
    </row>
    <row r="84" spans="1:4">
      <c r="A84" s="4" t="s">
        <v>104</v>
      </c>
      <c r="B84" s="24">
        <v>9</v>
      </c>
      <c r="C84" s="6" t="s">
        <v>38</v>
      </c>
      <c r="D84" s="7" t="s">
        <v>475</v>
      </c>
    </row>
    <row r="85" spans="1:4">
      <c r="A85" s="4" t="s">
        <v>105</v>
      </c>
      <c r="B85" s="24">
        <v>5</v>
      </c>
      <c r="C85" s="6" t="s">
        <v>38</v>
      </c>
      <c r="D85" s="7" t="s">
        <v>465</v>
      </c>
    </row>
    <row r="86" spans="1:4">
      <c r="A86" s="4" t="s">
        <v>106</v>
      </c>
      <c r="B86" s="29">
        <v>0.04</v>
      </c>
      <c r="C86" s="6" t="s">
        <v>18</v>
      </c>
      <c r="D86" s="7" t="s">
        <v>211</v>
      </c>
    </row>
    <row r="87" spans="1:4">
      <c r="A87" s="4" t="s">
        <v>107</v>
      </c>
      <c r="B87" s="29">
        <v>0.03</v>
      </c>
      <c r="C87" s="6" t="s">
        <v>18</v>
      </c>
      <c r="D87" s="7" t="s">
        <v>196</v>
      </c>
    </row>
    <row r="88" spans="1:4">
      <c r="A88" s="4" t="s">
        <v>108</v>
      </c>
      <c r="B88" s="26">
        <v>0.9</v>
      </c>
      <c r="C88" s="6" t="s">
        <v>109</v>
      </c>
      <c r="D88" s="7" t="s">
        <v>212</v>
      </c>
    </row>
    <row r="89" spans="1:4">
      <c r="A89" s="4" t="s">
        <v>110</v>
      </c>
      <c r="B89" s="26">
        <v>0.7</v>
      </c>
      <c r="C89" s="6" t="s">
        <v>109</v>
      </c>
      <c r="D89" s="7" t="s">
        <v>213</v>
      </c>
    </row>
    <row r="90" spans="1:4">
      <c r="A90" s="4" t="s">
        <v>39</v>
      </c>
      <c r="B90" s="24">
        <v>5</v>
      </c>
      <c r="C90" s="6" t="s">
        <v>40</v>
      </c>
      <c r="D90" s="7" t="s">
        <v>466</v>
      </c>
    </row>
    <row r="91" spans="1:4">
      <c r="A91" s="4" t="s">
        <v>41</v>
      </c>
      <c r="B91" s="24">
        <v>10</v>
      </c>
      <c r="C91" s="6" t="s">
        <v>40</v>
      </c>
      <c r="D91" s="7" t="s">
        <v>467</v>
      </c>
    </row>
    <row r="92" spans="1:4">
      <c r="A92" s="4" t="s">
        <v>111</v>
      </c>
      <c r="B92" s="27">
        <v>7500</v>
      </c>
      <c r="C92" s="6" t="s">
        <v>12</v>
      </c>
      <c r="D92" s="7" t="s">
        <v>199</v>
      </c>
    </row>
    <row r="93" spans="1:4">
      <c r="A93" s="4" t="s">
        <v>112</v>
      </c>
      <c r="B93" s="27">
        <v>8500</v>
      </c>
      <c r="C93" s="6" t="s">
        <v>12</v>
      </c>
      <c r="D93" s="7" t="s">
        <v>200</v>
      </c>
    </row>
    <row r="94" spans="1:4">
      <c r="A94" s="4" t="s">
        <v>113</v>
      </c>
      <c r="B94" s="26">
        <v>2</v>
      </c>
      <c r="C94" s="6" t="s">
        <v>114</v>
      </c>
      <c r="D94" s="7" t="s">
        <v>476</v>
      </c>
    </row>
    <row r="95" spans="1:4">
      <c r="A95" s="4" t="s">
        <v>115</v>
      </c>
      <c r="B95" s="26">
        <v>3</v>
      </c>
      <c r="C95" s="6" t="s">
        <v>114</v>
      </c>
      <c r="D95" s="7" t="s">
        <v>477</v>
      </c>
    </row>
    <row r="96" spans="1:4">
      <c r="A96" s="4"/>
      <c r="B96" s="26"/>
      <c r="C96" s="6"/>
      <c r="D96" s="7"/>
    </row>
    <row r="97" spans="1:4">
      <c r="A97" s="15" t="s">
        <v>426</v>
      </c>
      <c r="B97" s="26"/>
      <c r="C97" s="6"/>
      <c r="D97" s="7"/>
    </row>
    <row r="98" spans="1:4">
      <c r="A98" s="4" t="s">
        <v>427</v>
      </c>
      <c r="B98" s="81">
        <v>1.5</v>
      </c>
      <c r="C98" s="6" t="s">
        <v>428</v>
      </c>
      <c r="D98" s="7" t="s">
        <v>429</v>
      </c>
    </row>
    <row r="99" spans="1:4">
      <c r="A99" s="4" t="s">
        <v>430</v>
      </c>
      <c r="B99" s="82">
        <v>0.15</v>
      </c>
      <c r="C99" s="6" t="s">
        <v>7</v>
      </c>
      <c r="D99" s="7" t="s">
        <v>458</v>
      </c>
    </row>
    <row r="100" spans="1:4">
      <c r="A100" s="4" t="s">
        <v>431</v>
      </c>
      <c r="B100" s="82">
        <v>0.1</v>
      </c>
      <c r="C100" s="6" t="s">
        <v>7</v>
      </c>
      <c r="D100" s="7" t="s">
        <v>459</v>
      </c>
    </row>
    <row r="101" spans="1:4">
      <c r="A101" s="4" t="s">
        <v>432</v>
      </c>
      <c r="B101" s="81">
        <v>3</v>
      </c>
      <c r="C101" s="6" t="s">
        <v>433</v>
      </c>
      <c r="D101" s="7" t="s">
        <v>461</v>
      </c>
    </row>
    <row r="102" spans="1:4">
      <c r="A102" s="4" t="s">
        <v>434</v>
      </c>
      <c r="B102" s="81">
        <v>3</v>
      </c>
      <c r="C102" s="6" t="s">
        <v>435</v>
      </c>
      <c r="D102" s="7" t="s">
        <v>462</v>
      </c>
    </row>
    <row r="103" spans="1:4">
      <c r="A103" s="4" t="s">
        <v>436</v>
      </c>
      <c r="B103" s="81">
        <v>2</v>
      </c>
      <c r="C103" s="6" t="s">
        <v>433</v>
      </c>
      <c r="D103" s="7" t="s">
        <v>463</v>
      </c>
    </row>
    <row r="104" spans="1:4">
      <c r="A104" s="4" t="s">
        <v>437</v>
      </c>
      <c r="B104" s="81">
        <v>1.5</v>
      </c>
      <c r="C104" s="6" t="s">
        <v>435</v>
      </c>
      <c r="D104" s="7" t="s">
        <v>464</v>
      </c>
    </row>
    <row r="105" spans="1:4">
      <c r="A105" s="4" t="s">
        <v>438</v>
      </c>
      <c r="B105" s="29">
        <v>0.25</v>
      </c>
      <c r="C105" s="6" t="s">
        <v>11</v>
      </c>
      <c r="D105" s="7" t="s">
        <v>439</v>
      </c>
    </row>
    <row r="106" spans="1:4">
      <c r="A106" s="4" t="s">
        <v>440</v>
      </c>
      <c r="B106" s="83">
        <v>75</v>
      </c>
      <c r="C106" s="6" t="s">
        <v>441</v>
      </c>
      <c r="D106" s="7" t="s">
        <v>442</v>
      </c>
    </row>
    <row r="107" spans="1:4">
      <c r="A107" s="4" t="s">
        <v>443</v>
      </c>
      <c r="B107" s="83">
        <v>50</v>
      </c>
      <c r="C107" s="6" t="s">
        <v>444</v>
      </c>
      <c r="D107" s="7" t="s">
        <v>447</v>
      </c>
    </row>
    <row r="108" spans="1:4">
      <c r="A108" s="4"/>
      <c r="B108" s="26"/>
      <c r="C108" s="6"/>
      <c r="D108" s="7"/>
    </row>
    <row r="109" spans="1:4">
      <c r="A109" s="4"/>
      <c r="B109" s="26"/>
      <c r="C109" s="6"/>
      <c r="D109" s="7"/>
    </row>
    <row r="110" spans="1:4">
      <c r="B110" s="28"/>
    </row>
    <row r="111" spans="1:4">
      <c r="A111" s="14" t="s">
        <v>116</v>
      </c>
      <c r="B111" s="28"/>
      <c r="C111" s="3"/>
      <c r="D111" s="3"/>
    </row>
    <row r="112" spans="1:4">
      <c r="A112" s="4" t="s">
        <v>117</v>
      </c>
      <c r="B112" s="31">
        <v>260</v>
      </c>
      <c r="C112" s="6" t="s">
        <v>36</v>
      </c>
      <c r="D112" s="7" t="s">
        <v>118</v>
      </c>
    </row>
    <row r="113" spans="1:4">
      <c r="A113" s="4" t="s">
        <v>119</v>
      </c>
      <c r="B113" s="31">
        <v>71</v>
      </c>
      <c r="C113" s="6" t="s">
        <v>36</v>
      </c>
      <c r="D113" s="7" t="s">
        <v>210</v>
      </c>
    </row>
    <row r="114" spans="1:4">
      <c r="A114" s="11" t="s">
        <v>120</v>
      </c>
      <c r="B114" s="11" t="s">
        <v>216</v>
      </c>
      <c r="C114" s="6" t="s">
        <v>121</v>
      </c>
      <c r="D114" s="17" t="s">
        <v>122</v>
      </c>
    </row>
    <row r="115" spans="1:4">
      <c r="A115" s="4" t="s">
        <v>123</v>
      </c>
      <c r="B115" s="31">
        <v>3000</v>
      </c>
      <c r="C115" s="6" t="s">
        <v>13</v>
      </c>
      <c r="D115" s="7" t="s">
        <v>468</v>
      </c>
    </row>
    <row r="116" spans="1:4">
      <c r="A116" s="11" t="s">
        <v>124</v>
      </c>
      <c r="B116" s="11" t="s">
        <v>471</v>
      </c>
      <c r="C116" s="6" t="s">
        <v>121</v>
      </c>
      <c r="D116" s="17" t="s">
        <v>469</v>
      </c>
    </row>
    <row r="117" spans="1:4">
      <c r="A117" s="4" t="s">
        <v>125</v>
      </c>
      <c r="B117" s="4" t="s">
        <v>126</v>
      </c>
      <c r="C117" s="6"/>
      <c r="D117" s="7" t="s">
        <v>470</v>
      </c>
    </row>
    <row r="118" spans="1:4">
      <c r="A118" s="11" t="s">
        <v>127</v>
      </c>
      <c r="B118" s="4">
        <v>5.5</v>
      </c>
      <c r="C118" s="6" t="s">
        <v>19</v>
      </c>
      <c r="D118" s="17" t="s">
        <v>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2BB94-DA2C-0741-95DD-60F556FD2716}">
  <dimension ref="A1:N57"/>
  <sheetViews>
    <sheetView workbookViewId="0">
      <pane xSplit="1" ySplit="2" topLeftCell="C3" activePane="bottomRight" state="frozen"/>
      <selection pane="topRight" activeCell="B1" sqref="B1"/>
      <selection pane="bottomLeft" activeCell="A3" sqref="A3"/>
      <selection pane="bottomRight" activeCell="B44" sqref="B44"/>
    </sheetView>
  </sheetViews>
  <sheetFormatPr baseColWidth="10" defaultRowHeight="16"/>
  <cols>
    <col min="1" max="1" width="43.33203125" customWidth="1"/>
    <col min="2" max="13" width="15.83203125" customWidth="1"/>
    <col min="14" max="14" width="45" customWidth="1"/>
  </cols>
  <sheetData>
    <row r="1" spans="1:14" ht="18">
      <c r="A1" s="1" t="s">
        <v>129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>
      <c r="A2" s="12"/>
      <c r="B2" s="13" t="s">
        <v>130</v>
      </c>
      <c r="C2" s="13" t="s">
        <v>131</v>
      </c>
      <c r="D2" s="13" t="s">
        <v>132</v>
      </c>
      <c r="E2" s="13" t="s">
        <v>133</v>
      </c>
      <c r="F2" s="13" t="s">
        <v>134</v>
      </c>
      <c r="G2" s="13" t="s">
        <v>135</v>
      </c>
      <c r="H2" s="13" t="s">
        <v>136</v>
      </c>
      <c r="I2" s="13" t="s">
        <v>137</v>
      </c>
      <c r="J2" s="13" t="s">
        <v>138</v>
      </c>
      <c r="K2" s="13" t="s">
        <v>139</v>
      </c>
      <c r="L2" s="13" t="s">
        <v>140</v>
      </c>
      <c r="M2" s="13" t="s">
        <v>141</v>
      </c>
      <c r="N2" s="13" t="s">
        <v>142</v>
      </c>
    </row>
    <row r="3" spans="1:14">
      <c r="A3" s="14" t="s">
        <v>143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>
      <c r="A4" s="15" t="s">
        <v>144</v>
      </c>
    </row>
    <row r="5" spans="1:14">
      <c r="A5" s="4" t="s">
        <v>145</v>
      </c>
      <c r="B5" s="5">
        <v>1</v>
      </c>
      <c r="C5" s="5">
        <v>4</v>
      </c>
      <c r="D5" s="5">
        <v>7</v>
      </c>
      <c r="E5" s="5">
        <v>10</v>
      </c>
      <c r="F5" s="5">
        <v>13</v>
      </c>
      <c r="G5" s="5">
        <v>23</v>
      </c>
      <c r="H5" s="5">
        <v>33</v>
      </c>
      <c r="I5" s="5">
        <v>43</v>
      </c>
      <c r="J5" s="5">
        <v>53</v>
      </c>
      <c r="K5" s="5">
        <v>63</v>
      </c>
      <c r="L5" s="5">
        <v>78</v>
      </c>
      <c r="M5" s="5">
        <v>93</v>
      </c>
      <c r="N5" s="7" t="s">
        <v>397</v>
      </c>
    </row>
    <row r="6" spans="1:14">
      <c r="A6" s="4" t="s">
        <v>197</v>
      </c>
      <c r="B6" s="42">
        <f>B5*'Global Assumptions'!B7</f>
        <v>50</v>
      </c>
      <c r="C6" s="42">
        <f>C5*'Global Assumptions'!B7</f>
        <v>200</v>
      </c>
      <c r="D6" s="42">
        <f>D5*'Global Assumptions'!B7</f>
        <v>350</v>
      </c>
      <c r="E6" s="42">
        <f>E5*'Global Assumptions'!B7</f>
        <v>500</v>
      </c>
      <c r="F6" s="42">
        <f>F5*'Global Assumptions'!B7</f>
        <v>650</v>
      </c>
      <c r="G6" s="42">
        <f>G5*'Global Assumptions'!B7</f>
        <v>1150</v>
      </c>
      <c r="H6" s="42">
        <f>H5*'Global Assumptions'!B7</f>
        <v>1650</v>
      </c>
      <c r="I6" s="42">
        <f>I5*'Global Assumptions'!B7</f>
        <v>2150</v>
      </c>
      <c r="J6" s="42">
        <f>J5*'Global Assumptions'!B7</f>
        <v>2650</v>
      </c>
      <c r="K6" s="42">
        <f>K5*'Global Assumptions'!B7</f>
        <v>3150</v>
      </c>
      <c r="L6" s="42">
        <f>L5*'Global Assumptions'!B7</f>
        <v>3900</v>
      </c>
      <c r="M6" s="42">
        <f>M5*'Global Assumptions'!B7</f>
        <v>4650</v>
      </c>
      <c r="N6" s="7" t="s">
        <v>398</v>
      </c>
    </row>
    <row r="7" spans="1:14">
      <c r="A7" s="4" t="s">
        <v>146</v>
      </c>
      <c r="B7" s="43">
        <f>B6*'Global Assumptions'!B8</f>
        <v>250</v>
      </c>
      <c r="C7" s="43">
        <f>C6*'Global Assumptions'!B8</f>
        <v>1000</v>
      </c>
      <c r="D7" s="43">
        <f>D6*'Global Assumptions'!B8</f>
        <v>1750</v>
      </c>
      <c r="E7" s="43">
        <f>E6*'Global Assumptions'!B8</f>
        <v>2500</v>
      </c>
      <c r="F7" s="43">
        <f>F6*'Global Assumptions'!B8</f>
        <v>3250</v>
      </c>
      <c r="G7" s="43">
        <f>G6*'Global Assumptions'!B8</f>
        <v>5750</v>
      </c>
      <c r="H7" s="43">
        <f>H6*'Global Assumptions'!B8</f>
        <v>8250</v>
      </c>
      <c r="I7" s="43">
        <f>I6*'Global Assumptions'!B8</f>
        <v>10750</v>
      </c>
      <c r="J7" s="43">
        <f>J6*'Global Assumptions'!B8</f>
        <v>13250</v>
      </c>
      <c r="K7" s="43">
        <f>K6*'Global Assumptions'!B8</f>
        <v>15750</v>
      </c>
      <c r="L7" s="43">
        <f>L6*'Global Assumptions'!B8</f>
        <v>19500</v>
      </c>
      <c r="M7" s="43">
        <f>M6*'Global Assumptions'!B8</f>
        <v>23250</v>
      </c>
      <c r="N7" s="7" t="s">
        <v>399</v>
      </c>
    </row>
    <row r="8" spans="1:14">
      <c r="A8" s="4" t="s">
        <v>198</v>
      </c>
      <c r="B8" s="42">
        <f>ROUND(B6*'Global Assumptions'!B9,0)</f>
        <v>20</v>
      </c>
      <c r="C8" s="42">
        <f>ROUND(C6*'Global Assumptions'!B9,0)</f>
        <v>80</v>
      </c>
      <c r="D8" s="42">
        <f>ROUND(D6*'Global Assumptions'!B9,0)</f>
        <v>140</v>
      </c>
      <c r="E8" s="42">
        <f>ROUND(E6*'Global Assumptions'!B9,0)</f>
        <v>200</v>
      </c>
      <c r="F8" s="42">
        <f>ROUND(F6*'Global Assumptions'!B9,0)</f>
        <v>260</v>
      </c>
      <c r="G8" s="42">
        <f>ROUND(G6*'Global Assumptions'!B9,0)</f>
        <v>460</v>
      </c>
      <c r="H8" s="42">
        <f>ROUND(H6*'Global Assumptions'!B9,0)</f>
        <v>660</v>
      </c>
      <c r="I8" s="42">
        <f>ROUND(I6*'Global Assumptions'!B9,0)</f>
        <v>860</v>
      </c>
      <c r="J8" s="42">
        <f>ROUND(J6*'Global Assumptions'!B9,0)</f>
        <v>1060</v>
      </c>
      <c r="K8" s="42">
        <f>ROUND(K6*'Global Assumptions'!B9,0)</f>
        <v>1260</v>
      </c>
      <c r="L8" s="42">
        <f>ROUND(L6*'Global Assumptions'!B9,0)</f>
        <v>1560</v>
      </c>
      <c r="M8" s="42">
        <f>ROUND(M6*'Global Assumptions'!B9,0)</f>
        <v>1860</v>
      </c>
      <c r="N8" s="7" t="s">
        <v>400</v>
      </c>
    </row>
    <row r="9" spans="1:14">
      <c r="A9" s="15" t="s">
        <v>50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0" spans="1:14">
      <c r="A10" s="4" t="s">
        <v>246</v>
      </c>
      <c r="B10" s="43">
        <f>'Global Assumptions'!B70</f>
        <v>3000</v>
      </c>
      <c r="C10" s="43">
        <f>ROUND(B10*(1+'Global Assumptions'!B71),0)</f>
        <v>3750</v>
      </c>
      <c r="D10" s="43">
        <f>ROUND(C10*(1+'Global Assumptions'!B71),0)</f>
        <v>4688</v>
      </c>
      <c r="E10" s="43">
        <f>ROUND(D10*(1+'Global Assumptions'!B71),0)</f>
        <v>5860</v>
      </c>
      <c r="F10" s="43">
        <f>ROUND(E10*(1+'Global Assumptions'!B71),0)</f>
        <v>7325</v>
      </c>
      <c r="G10" s="43">
        <f>ROUND(F10*(1+'Global Assumptions'!B71),0)</f>
        <v>9156</v>
      </c>
      <c r="H10" s="43">
        <f>ROUND(G10*(1+'Global Assumptions'!B71),0)</f>
        <v>11445</v>
      </c>
      <c r="I10" s="43">
        <f>ROUND(H10*(1+'Global Assumptions'!B71),0)</f>
        <v>14306</v>
      </c>
      <c r="J10" s="43">
        <f>ROUND(I10*(1+'Global Assumptions'!B71),0)</f>
        <v>17883</v>
      </c>
      <c r="K10" s="43">
        <f>ROUND(J10*(1+'Global Assumptions'!B71),0)</f>
        <v>22354</v>
      </c>
      <c r="L10" s="43">
        <f>ROUND(K10*(1+'Global Assumptions'!B71),0)</f>
        <v>27943</v>
      </c>
      <c r="M10" s="43">
        <f>ROUND(L10*(1+'Global Assumptions'!B71),0)</f>
        <v>34929</v>
      </c>
      <c r="N10" s="7" t="s">
        <v>401</v>
      </c>
    </row>
    <row r="11" spans="1:14">
      <c r="A11" s="4" t="s">
        <v>247</v>
      </c>
      <c r="B11" s="42">
        <f>ROUND(B10/'Global Assumptions'!B72,0)</f>
        <v>600</v>
      </c>
      <c r="C11" s="42">
        <f>ROUND(C10/'Global Assumptions'!B72,0)</f>
        <v>750</v>
      </c>
      <c r="D11" s="42">
        <f>ROUND(D10/'Global Assumptions'!B72,0)</f>
        <v>938</v>
      </c>
      <c r="E11" s="42">
        <f>ROUND(E10/'Global Assumptions'!B72,0)</f>
        <v>1172</v>
      </c>
      <c r="F11" s="42">
        <f>ROUND(F10/'Global Assumptions'!B72,0)</f>
        <v>1465</v>
      </c>
      <c r="G11" s="42">
        <f>ROUND(G10/'Global Assumptions'!B72,0)</f>
        <v>1831</v>
      </c>
      <c r="H11" s="42">
        <f>ROUND(H10/'Global Assumptions'!B72,0)</f>
        <v>2289</v>
      </c>
      <c r="I11" s="42">
        <f>ROUND(I10/'Global Assumptions'!B72,0)</f>
        <v>2861</v>
      </c>
      <c r="J11" s="42">
        <f>ROUND(J10/'Global Assumptions'!B72,0)</f>
        <v>3577</v>
      </c>
      <c r="K11" s="42">
        <f>ROUND(K10/'Global Assumptions'!B72,0)</f>
        <v>4471</v>
      </c>
      <c r="L11" s="42">
        <f>ROUND(L10/'Global Assumptions'!B72,0)</f>
        <v>5589</v>
      </c>
      <c r="M11" s="42">
        <f>ROUND(M10/'Global Assumptions'!B72,0)</f>
        <v>6986</v>
      </c>
      <c r="N11" s="7" t="s">
        <v>402</v>
      </c>
    </row>
    <row r="12" spans="1:14">
      <c r="A12" s="4" t="s">
        <v>248</v>
      </c>
      <c r="B12" s="42">
        <f>'Global Assumptions'!B73</f>
        <v>30</v>
      </c>
      <c r="C12" s="42">
        <f>ROUND(B12*(1+'Global Assumptions'!B74),0)</f>
        <v>33</v>
      </c>
      <c r="D12" s="42">
        <f>ROUND(C12*(1+'Global Assumptions'!B74),0)</f>
        <v>36</v>
      </c>
      <c r="E12" s="42">
        <f>ROUND(D12*(1+'Global Assumptions'!B74),0)</f>
        <v>40</v>
      </c>
      <c r="F12" s="42">
        <f>ROUND(E12*(1+'Global Assumptions'!B74),0)</f>
        <v>44</v>
      </c>
      <c r="G12" s="42">
        <f>ROUND(F12*(1+'Global Assumptions'!B74),0)</f>
        <v>48</v>
      </c>
      <c r="H12" s="42">
        <f>ROUND(G12*(1+'Global Assumptions'!B74),0)</f>
        <v>53</v>
      </c>
      <c r="I12" s="42">
        <f>ROUND(H12*(1+'Global Assumptions'!B74),0)</f>
        <v>58</v>
      </c>
      <c r="J12" s="42">
        <f>ROUND(I12*(1+'Global Assumptions'!B74),0)</f>
        <v>64</v>
      </c>
      <c r="K12" s="42">
        <f>ROUND(J12*(1+'Global Assumptions'!B74),0)</f>
        <v>70</v>
      </c>
      <c r="L12" s="42">
        <f>ROUND(K12*(1+'Global Assumptions'!B74),0)</f>
        <v>77</v>
      </c>
      <c r="M12" s="42">
        <f>ROUND(L12*(1+'Global Assumptions'!B74),0)</f>
        <v>85</v>
      </c>
      <c r="N12" s="7" t="s">
        <v>403</v>
      </c>
    </row>
    <row r="13" spans="1:14">
      <c r="A13" s="4" t="s">
        <v>249</v>
      </c>
      <c r="B13" s="42">
        <f t="shared" ref="B13:M13" si="0">B11+B12</f>
        <v>630</v>
      </c>
      <c r="C13" s="42">
        <f t="shared" si="0"/>
        <v>783</v>
      </c>
      <c r="D13" s="42">
        <f t="shared" si="0"/>
        <v>974</v>
      </c>
      <c r="E13" s="42">
        <f t="shared" si="0"/>
        <v>1212</v>
      </c>
      <c r="F13" s="42">
        <f t="shared" si="0"/>
        <v>1509</v>
      </c>
      <c r="G13" s="42">
        <f t="shared" si="0"/>
        <v>1879</v>
      </c>
      <c r="H13" s="42">
        <f t="shared" si="0"/>
        <v>2342</v>
      </c>
      <c r="I13" s="42">
        <f t="shared" si="0"/>
        <v>2919</v>
      </c>
      <c r="J13" s="42">
        <f t="shared" si="0"/>
        <v>3641</v>
      </c>
      <c r="K13" s="42">
        <f t="shared" si="0"/>
        <v>4541</v>
      </c>
      <c r="L13" s="42">
        <f t="shared" si="0"/>
        <v>5666</v>
      </c>
      <c r="M13" s="42">
        <f t="shared" si="0"/>
        <v>7071</v>
      </c>
      <c r="N13" s="7" t="s">
        <v>404</v>
      </c>
    </row>
    <row r="14" spans="1:14">
      <c r="A14" s="4" t="s">
        <v>147</v>
      </c>
      <c r="B14" s="42">
        <f>B13</f>
        <v>630</v>
      </c>
      <c r="C14" s="42">
        <f>ROUND(B14*(1-'Global Assumptions'!B40)+C13,0)</f>
        <v>1363</v>
      </c>
      <c r="D14" s="42">
        <f>ROUND(C14*(1-'Global Assumptions'!B40)+D13,0)</f>
        <v>2228</v>
      </c>
      <c r="E14" s="42">
        <f>ROUND(D14*(1-'Global Assumptions'!B40)+E13,0)</f>
        <v>3262</v>
      </c>
      <c r="F14" s="42">
        <f>ROUND(E14*(1-'Global Assumptions'!B40)+F13,0)</f>
        <v>4510</v>
      </c>
      <c r="G14" s="42">
        <f>ROUND(F14*(1-'Global Assumptions'!B40)+G13,0)</f>
        <v>6028</v>
      </c>
      <c r="H14" s="42">
        <f>ROUND(G14*(1-'Global Assumptions'!B40)+H13,0)</f>
        <v>7888</v>
      </c>
      <c r="I14" s="42">
        <f>ROUND(H14*(1-'Global Assumptions'!B40)+I13,0)</f>
        <v>10176</v>
      </c>
      <c r="J14" s="42">
        <f>ROUND(I14*(1-'Global Assumptions'!B40)+J13,0)</f>
        <v>13003</v>
      </c>
      <c r="K14" s="42">
        <f>ROUND(J14*(1-'Global Assumptions'!B40)+K13,0)</f>
        <v>16504</v>
      </c>
      <c r="L14" s="42">
        <f>ROUND(K14*(1-'Global Assumptions'!B40)+L13,0)</f>
        <v>20850</v>
      </c>
      <c r="M14" s="42">
        <f>ROUND(L14*(1-'Global Assumptions'!B40)+M13,0)</f>
        <v>26253</v>
      </c>
      <c r="N14" s="7" t="s">
        <v>405</v>
      </c>
    </row>
    <row r="15" spans="1:14">
      <c r="A15" s="4" t="s">
        <v>148</v>
      </c>
      <c r="B15" s="42">
        <f>ROUND(B13*'Global Assumptions'!B16,0)</f>
        <v>38</v>
      </c>
      <c r="C15" s="42">
        <f>ROUND(C13*'Global Assumptions'!B16,0)</f>
        <v>47</v>
      </c>
      <c r="D15" s="42">
        <f>ROUND(D13*'Global Assumptions'!B16,0)</f>
        <v>58</v>
      </c>
      <c r="E15" s="42">
        <f>ROUND(E13*'Global Assumptions'!B16,0)</f>
        <v>73</v>
      </c>
      <c r="F15" s="42">
        <f>ROUND(F13*'Global Assumptions'!B16,0)</f>
        <v>91</v>
      </c>
      <c r="G15" s="42">
        <f>ROUND(G13*'Global Assumptions'!B16,0)</f>
        <v>113</v>
      </c>
      <c r="H15" s="42">
        <f>ROUND(H13*'Global Assumptions'!B16,0)</f>
        <v>141</v>
      </c>
      <c r="I15" s="42">
        <f>ROUND(I13*'Global Assumptions'!B16,0)</f>
        <v>175</v>
      </c>
      <c r="J15" s="42">
        <f>ROUND(J13*'Global Assumptions'!B16,0)</f>
        <v>218</v>
      </c>
      <c r="K15" s="42">
        <f>ROUND(K13*'Global Assumptions'!B16,0)</f>
        <v>272</v>
      </c>
      <c r="L15" s="42">
        <f>ROUND(L13*'Global Assumptions'!B16,0)</f>
        <v>340</v>
      </c>
      <c r="M15" s="42">
        <f>ROUND(M13*'Global Assumptions'!B16,0)</f>
        <v>424</v>
      </c>
      <c r="N15" s="7" t="s">
        <v>406</v>
      </c>
    </row>
    <row r="16" spans="1:14">
      <c r="A16" s="4" t="s">
        <v>149</v>
      </c>
      <c r="B16" s="42">
        <f>B15</f>
        <v>38</v>
      </c>
      <c r="C16" s="42">
        <f>ROUND(B16*(1-'Global Assumptions'!B39)+C15,0)</f>
        <v>83</v>
      </c>
      <c r="D16" s="42">
        <f>ROUND(C16*(1-'Global Assumptions'!B39)+D15,0)</f>
        <v>137</v>
      </c>
      <c r="E16" s="42">
        <f>ROUND(D16*(1-'Global Assumptions'!B39)+E15,0)</f>
        <v>203</v>
      </c>
      <c r="F16" s="42">
        <f>ROUND(E16*(1-'Global Assumptions'!B39)+F15,0)</f>
        <v>284</v>
      </c>
      <c r="G16" s="42">
        <f>ROUND(F16*(1-'Global Assumptions'!B39)+G15,0)</f>
        <v>383</v>
      </c>
      <c r="H16" s="42">
        <f>ROUND(G16*(1-'Global Assumptions'!B39)+H15,0)</f>
        <v>505</v>
      </c>
      <c r="I16" s="42">
        <f>ROUND(H16*(1-'Global Assumptions'!B39)+I15,0)</f>
        <v>655</v>
      </c>
      <c r="J16" s="42">
        <f>ROUND(I16*(1-'Global Assumptions'!B39)+J15,0)</f>
        <v>840</v>
      </c>
      <c r="K16" s="42">
        <f>ROUND(J16*(1-'Global Assumptions'!B39)+K15,0)</f>
        <v>1070</v>
      </c>
      <c r="L16" s="42">
        <f>ROUND(K16*(1-'Global Assumptions'!B39)+L15,0)</f>
        <v>1357</v>
      </c>
      <c r="M16" s="42">
        <f>ROUND(L16*(1-'Global Assumptions'!B39)+M15,0)</f>
        <v>1713</v>
      </c>
      <c r="N16" s="7" t="s">
        <v>407</v>
      </c>
    </row>
    <row r="17" spans="1:14">
      <c r="A17" s="4" t="s">
        <v>150</v>
      </c>
      <c r="B17" s="43">
        <f>B16*'Global Assumptions'!B28</f>
        <v>493.62</v>
      </c>
      <c r="C17" s="43">
        <f>C16*'Global Assumptions'!B28</f>
        <v>1078.17</v>
      </c>
      <c r="D17" s="43">
        <f>D16*'Global Assumptions'!B28</f>
        <v>1779.63</v>
      </c>
      <c r="E17" s="43">
        <f>E16*'Global Assumptions'!B28</f>
        <v>2636.9700000000003</v>
      </c>
      <c r="F17" s="43">
        <f>F16*'Global Assumptions'!B28</f>
        <v>3689.16</v>
      </c>
      <c r="G17" s="43">
        <f>G16*'Global Assumptions'!B28</f>
        <v>4975.17</v>
      </c>
      <c r="H17" s="43">
        <f>H16*'Global Assumptions'!B28</f>
        <v>6559.95</v>
      </c>
      <c r="I17" s="43">
        <f>I16*'Global Assumptions'!B28</f>
        <v>8508.4500000000007</v>
      </c>
      <c r="J17" s="43">
        <f>J16*'Global Assumptions'!B28</f>
        <v>10911.6</v>
      </c>
      <c r="K17" s="43">
        <f>K16*'Global Assumptions'!B28</f>
        <v>13899.300000000001</v>
      </c>
      <c r="L17" s="43">
        <f>L16*'Global Assumptions'!B28</f>
        <v>17627.43</v>
      </c>
      <c r="M17" s="43">
        <f>M16*'Global Assumptions'!B28</f>
        <v>22251.87</v>
      </c>
      <c r="N17" s="7" t="s">
        <v>408</v>
      </c>
    </row>
    <row r="18" spans="1:14">
      <c r="A18" s="11" t="s">
        <v>151</v>
      </c>
      <c r="B18" s="40">
        <f t="shared" ref="B18:M18" si="1">B8+B14+B16</f>
        <v>688</v>
      </c>
      <c r="C18" s="40">
        <f t="shared" si="1"/>
        <v>1526</v>
      </c>
      <c r="D18" s="40">
        <f t="shared" si="1"/>
        <v>2505</v>
      </c>
      <c r="E18" s="40">
        <f t="shared" si="1"/>
        <v>3665</v>
      </c>
      <c r="F18" s="40">
        <f t="shared" si="1"/>
        <v>5054</v>
      </c>
      <c r="G18" s="40">
        <f t="shared" si="1"/>
        <v>6871</v>
      </c>
      <c r="H18" s="40">
        <f t="shared" si="1"/>
        <v>9053</v>
      </c>
      <c r="I18" s="40">
        <f t="shared" si="1"/>
        <v>11691</v>
      </c>
      <c r="J18" s="40">
        <f t="shared" si="1"/>
        <v>14903</v>
      </c>
      <c r="K18" s="40">
        <f t="shared" si="1"/>
        <v>18834</v>
      </c>
      <c r="L18" s="40">
        <f t="shared" si="1"/>
        <v>23767</v>
      </c>
      <c r="M18" s="40">
        <f t="shared" si="1"/>
        <v>29826</v>
      </c>
      <c r="N18" s="7" t="s">
        <v>409</v>
      </c>
    </row>
    <row r="19" spans="1:14">
      <c r="A19" s="38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39"/>
    </row>
    <row r="20" spans="1:14">
      <c r="A20" s="14" t="s">
        <v>152</v>
      </c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3"/>
    </row>
    <row r="21" spans="1:14">
      <c r="A21" s="4" t="s">
        <v>153</v>
      </c>
      <c r="B21" s="43">
        <f t="shared" ref="B21:M21" si="2">B7</f>
        <v>250</v>
      </c>
      <c r="C21" s="43">
        <f t="shared" si="2"/>
        <v>1000</v>
      </c>
      <c r="D21" s="43">
        <f t="shared" si="2"/>
        <v>1750</v>
      </c>
      <c r="E21" s="43">
        <f t="shared" si="2"/>
        <v>2500</v>
      </c>
      <c r="F21" s="43">
        <f t="shared" si="2"/>
        <v>3250</v>
      </c>
      <c r="G21" s="43">
        <f t="shared" si="2"/>
        <v>5750</v>
      </c>
      <c r="H21" s="43">
        <f t="shared" si="2"/>
        <v>8250</v>
      </c>
      <c r="I21" s="43">
        <f t="shared" si="2"/>
        <v>10750</v>
      </c>
      <c r="J21" s="43">
        <f t="shared" si="2"/>
        <v>13250</v>
      </c>
      <c r="K21" s="43">
        <f t="shared" si="2"/>
        <v>15750</v>
      </c>
      <c r="L21" s="43">
        <f t="shared" si="2"/>
        <v>19500</v>
      </c>
      <c r="M21" s="43">
        <f t="shared" si="2"/>
        <v>23250</v>
      </c>
    </row>
    <row r="22" spans="1:14">
      <c r="A22" s="4" t="s">
        <v>154</v>
      </c>
      <c r="B22" s="43">
        <f t="shared" ref="B22:M22" si="3">B17</f>
        <v>493.62</v>
      </c>
      <c r="C22" s="43">
        <f t="shared" si="3"/>
        <v>1078.17</v>
      </c>
      <c r="D22" s="43">
        <f t="shared" si="3"/>
        <v>1779.63</v>
      </c>
      <c r="E22" s="43">
        <f t="shared" si="3"/>
        <v>2636.9700000000003</v>
      </c>
      <c r="F22" s="43">
        <f t="shared" si="3"/>
        <v>3689.16</v>
      </c>
      <c r="G22" s="43">
        <f t="shared" si="3"/>
        <v>4975.17</v>
      </c>
      <c r="H22" s="43">
        <f t="shared" si="3"/>
        <v>6559.95</v>
      </c>
      <c r="I22" s="43">
        <f t="shared" si="3"/>
        <v>8508.4500000000007</v>
      </c>
      <c r="J22" s="43">
        <f t="shared" si="3"/>
        <v>10911.6</v>
      </c>
      <c r="K22" s="43">
        <f t="shared" si="3"/>
        <v>13899.300000000001</v>
      </c>
      <c r="L22" s="43">
        <f t="shared" si="3"/>
        <v>17627.43</v>
      </c>
      <c r="M22" s="43">
        <f t="shared" si="3"/>
        <v>22251.87</v>
      </c>
    </row>
    <row r="23" spans="1:14">
      <c r="A23" s="11" t="s">
        <v>155</v>
      </c>
      <c r="B23" s="49">
        <f t="shared" ref="B23:M23" si="4">B21+B22</f>
        <v>743.62</v>
      </c>
      <c r="C23" s="49">
        <f t="shared" si="4"/>
        <v>2078.17</v>
      </c>
      <c r="D23" s="49">
        <f t="shared" si="4"/>
        <v>3529.63</v>
      </c>
      <c r="E23" s="49">
        <f t="shared" si="4"/>
        <v>5136.97</v>
      </c>
      <c r="F23" s="49">
        <f t="shared" si="4"/>
        <v>6939.16</v>
      </c>
      <c r="G23" s="49">
        <f t="shared" si="4"/>
        <v>10725.17</v>
      </c>
      <c r="H23" s="49">
        <f t="shared" si="4"/>
        <v>14809.95</v>
      </c>
      <c r="I23" s="49">
        <f t="shared" si="4"/>
        <v>19258.45</v>
      </c>
      <c r="J23" s="49">
        <f t="shared" si="4"/>
        <v>24161.599999999999</v>
      </c>
      <c r="K23" s="49">
        <f t="shared" si="4"/>
        <v>29649.300000000003</v>
      </c>
      <c r="L23" s="49">
        <f t="shared" si="4"/>
        <v>37127.43</v>
      </c>
      <c r="M23" s="49">
        <f t="shared" si="4"/>
        <v>45501.869999999995</v>
      </c>
    </row>
    <row r="24" spans="1:14">
      <c r="A24" s="38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39"/>
    </row>
    <row r="25" spans="1:14">
      <c r="A25" s="15" t="s">
        <v>156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</row>
    <row r="26" spans="1:14">
      <c r="A26" s="4" t="s">
        <v>157</v>
      </c>
      <c r="B26" s="43">
        <f>(B8+B16)*'Global Assumptions'!B32</f>
        <v>49.3</v>
      </c>
      <c r="C26" s="43">
        <f>(C8+C16)*'Global Assumptions'!B32</f>
        <v>138.54999999999998</v>
      </c>
      <c r="D26" s="43">
        <f>(D8+D16)*'Global Assumptions'!B32</f>
        <v>235.45</v>
      </c>
      <c r="E26" s="43">
        <f>(E8+E16)*'Global Assumptions'!B32</f>
        <v>342.55</v>
      </c>
      <c r="F26" s="43">
        <f>(F8+F16)*'Global Assumptions'!B32</f>
        <v>462.4</v>
      </c>
      <c r="G26" s="43">
        <f>(G8+G16)*'Global Assumptions'!B32</f>
        <v>716.55</v>
      </c>
      <c r="H26" s="43">
        <f>(H8+H16)*'Global Assumptions'!B32</f>
        <v>990.25</v>
      </c>
      <c r="I26" s="43">
        <f>(I8+I16)*'Global Assumptions'!B32</f>
        <v>1287.75</v>
      </c>
      <c r="J26" s="43">
        <f>(J8+J16)*'Global Assumptions'!B32</f>
        <v>1615</v>
      </c>
      <c r="K26" s="43">
        <f>(K8+K16)*'Global Assumptions'!B32</f>
        <v>1980.5</v>
      </c>
      <c r="L26" s="43">
        <f>(L8+L16)*'Global Assumptions'!B32</f>
        <v>2479.4499999999998</v>
      </c>
      <c r="M26" s="43">
        <f>(M8+M16)*'Global Assumptions'!B32</f>
        <v>3037.0499999999997</v>
      </c>
    </row>
    <row r="27" spans="1:14">
      <c r="A27" s="4" t="s">
        <v>158</v>
      </c>
      <c r="B27" s="43">
        <f>B14*'Global Assumptions'!B32*'Global Assumptions'!B33</f>
        <v>133.875</v>
      </c>
      <c r="C27" s="43">
        <f>C14*'Global Assumptions'!B32*'Global Assumptions'!B33</f>
        <v>289.63749999999999</v>
      </c>
      <c r="D27" s="43">
        <f>D14*'Global Assumptions'!B32*'Global Assumptions'!B33</f>
        <v>473.45</v>
      </c>
      <c r="E27" s="43">
        <f>E14*'Global Assumptions'!B32*'Global Assumptions'!B33</f>
        <v>693.17499999999995</v>
      </c>
      <c r="F27" s="43">
        <f>F14*'Global Assumptions'!B32*'Global Assumptions'!B33</f>
        <v>958.375</v>
      </c>
      <c r="G27" s="43">
        <f>G14*'Global Assumptions'!B32*'Global Assumptions'!B33</f>
        <v>1280.95</v>
      </c>
      <c r="H27" s="43">
        <f>H14*'Global Assumptions'!B32*'Global Assumptions'!B33</f>
        <v>1676.2</v>
      </c>
      <c r="I27" s="43">
        <f>I14*'Global Assumptions'!B32*'Global Assumptions'!B33</f>
        <v>2162.4</v>
      </c>
      <c r="J27" s="43">
        <f>J14*'Global Assumptions'!B32*'Global Assumptions'!B33</f>
        <v>2763.1374999999998</v>
      </c>
      <c r="K27" s="43">
        <f>K14*'Global Assumptions'!B32*'Global Assumptions'!B33</f>
        <v>3507.1</v>
      </c>
      <c r="L27" s="43">
        <f>L14*'Global Assumptions'!B32*'Global Assumptions'!B33</f>
        <v>4430.625</v>
      </c>
      <c r="M27" s="43">
        <f>M14*'Global Assumptions'!B32*'Global Assumptions'!B33</f>
        <v>5578.7624999999998</v>
      </c>
    </row>
    <row r="28" spans="1:14">
      <c r="A28" s="4" t="s">
        <v>159</v>
      </c>
      <c r="B28" s="43">
        <f>B18*'Global Assumptions'!B34</f>
        <v>447.2</v>
      </c>
      <c r="C28" s="43">
        <f>C18*'Global Assumptions'!B34</f>
        <v>991.9</v>
      </c>
      <c r="D28" s="43">
        <f>D18*'Global Assumptions'!B34</f>
        <v>1628.25</v>
      </c>
      <c r="E28" s="43">
        <f>E18*'Global Assumptions'!B34</f>
        <v>2382.25</v>
      </c>
      <c r="F28" s="43">
        <f>F18*'Global Assumptions'!B34</f>
        <v>3285.1</v>
      </c>
      <c r="G28" s="43">
        <f>G18*'Global Assumptions'!B34</f>
        <v>4466.1500000000005</v>
      </c>
      <c r="H28" s="43">
        <f>H18*'Global Assumptions'!B34</f>
        <v>5884.45</v>
      </c>
      <c r="I28" s="43">
        <f>I18*'Global Assumptions'!B34</f>
        <v>7599.1500000000005</v>
      </c>
      <c r="J28" s="43">
        <f>J18*'Global Assumptions'!B34</f>
        <v>9686.9500000000007</v>
      </c>
      <c r="K28" s="43">
        <f>K18*'Global Assumptions'!B34</f>
        <v>12242.1</v>
      </c>
      <c r="L28" s="43">
        <f>L18*'Global Assumptions'!B34</f>
        <v>15448.550000000001</v>
      </c>
      <c r="M28" s="43">
        <f>M18*'Global Assumptions'!B34</f>
        <v>19386.900000000001</v>
      </c>
    </row>
    <row r="29" spans="1:14">
      <c r="A29" s="4" t="s">
        <v>160</v>
      </c>
      <c r="B29" s="43">
        <f>B23*'Global Assumptions'!B35</f>
        <v>21.564980000000002</v>
      </c>
      <c r="C29" s="43">
        <f>C23*'Global Assumptions'!B35</f>
        <v>60.266930000000002</v>
      </c>
      <c r="D29" s="43">
        <f>D23*'Global Assumptions'!B35</f>
        <v>102.35927000000001</v>
      </c>
      <c r="E29" s="43">
        <f>E23*'Global Assumptions'!B35</f>
        <v>148.97213000000002</v>
      </c>
      <c r="F29" s="43">
        <f>F23*'Global Assumptions'!B35</f>
        <v>201.23564000000002</v>
      </c>
      <c r="G29" s="43">
        <f>G23*'Global Assumptions'!B35</f>
        <v>311.02993000000004</v>
      </c>
      <c r="H29" s="43">
        <f>H23*'Global Assumptions'!B35</f>
        <v>429.48855000000003</v>
      </c>
      <c r="I29" s="43">
        <f>I23*'Global Assumptions'!B35</f>
        <v>558.49505000000011</v>
      </c>
      <c r="J29" s="43">
        <f>J23*'Global Assumptions'!B35</f>
        <v>700.68640000000005</v>
      </c>
      <c r="K29" s="43">
        <f>K23*'Global Assumptions'!B35</f>
        <v>859.82970000000012</v>
      </c>
      <c r="L29" s="43">
        <f>L23*'Global Assumptions'!B35</f>
        <v>1076.6954700000001</v>
      </c>
      <c r="M29" s="43">
        <f>M23*'Global Assumptions'!B35</f>
        <v>1319.55423</v>
      </c>
    </row>
    <row r="30" spans="1:14">
      <c r="A30" s="4" t="s">
        <v>161</v>
      </c>
      <c r="B30" s="43">
        <f>(B21+B22)*'Global Assumptions'!B36</f>
        <v>14.872400000000001</v>
      </c>
      <c r="C30" s="43">
        <f>(C21+C22)*'Global Assumptions'!B36</f>
        <v>41.563400000000001</v>
      </c>
      <c r="D30" s="43">
        <f>(D21+D22)*'Global Assumptions'!B36</f>
        <v>70.592600000000004</v>
      </c>
      <c r="E30" s="43">
        <f>(E21+E22)*'Global Assumptions'!B36</f>
        <v>102.7394</v>
      </c>
      <c r="F30" s="43">
        <f>(F21+F22)*'Global Assumptions'!B36</f>
        <v>138.78319999999999</v>
      </c>
      <c r="G30" s="43">
        <f>(G21+G22)*'Global Assumptions'!B36</f>
        <v>214.5034</v>
      </c>
      <c r="H30" s="43">
        <f>(H21+H22)*'Global Assumptions'!B36</f>
        <v>296.19900000000001</v>
      </c>
      <c r="I30" s="43">
        <f>(I21+I22)*'Global Assumptions'!B36</f>
        <v>385.16900000000004</v>
      </c>
      <c r="J30" s="43">
        <f>(J21+J22)*'Global Assumptions'!B36</f>
        <v>483.23199999999997</v>
      </c>
      <c r="K30" s="43">
        <f>(K21+K22)*'Global Assumptions'!B36</f>
        <v>592.9860000000001</v>
      </c>
      <c r="L30" s="43">
        <f>(L21+L22)*'Global Assumptions'!B36</f>
        <v>742.54859999999996</v>
      </c>
      <c r="M30" s="43">
        <f>(M21+M22)*'Global Assumptions'!B36</f>
        <v>910.03739999999993</v>
      </c>
    </row>
    <row r="31" spans="1:14">
      <c r="A31" s="11" t="s">
        <v>162</v>
      </c>
      <c r="B31" s="41">
        <f t="shared" ref="B31:M31" si="5">SUM(B26:B30)</f>
        <v>666.81237999999996</v>
      </c>
      <c r="C31" s="41">
        <f t="shared" si="5"/>
        <v>1521.9178300000001</v>
      </c>
      <c r="D31" s="41">
        <f t="shared" si="5"/>
        <v>2510.10187</v>
      </c>
      <c r="E31" s="41">
        <f t="shared" si="5"/>
        <v>3669.6865299999999</v>
      </c>
      <c r="F31" s="41">
        <f t="shared" si="5"/>
        <v>5045.8938399999997</v>
      </c>
      <c r="G31" s="41">
        <f t="shared" si="5"/>
        <v>6989.1833299999998</v>
      </c>
      <c r="H31" s="41">
        <f t="shared" si="5"/>
        <v>9276.5875500000002</v>
      </c>
      <c r="I31" s="41">
        <f t="shared" si="5"/>
        <v>11992.96405</v>
      </c>
      <c r="J31" s="41">
        <f t="shared" si="5"/>
        <v>15249.005900000002</v>
      </c>
      <c r="K31" s="41">
        <f t="shared" si="5"/>
        <v>19182.5157</v>
      </c>
      <c r="L31" s="41">
        <f t="shared" si="5"/>
        <v>24177.869069999997</v>
      </c>
      <c r="M31" s="41">
        <f t="shared" si="5"/>
        <v>30232.304130000004</v>
      </c>
    </row>
    <row r="32" spans="1:14">
      <c r="A32" s="11" t="s">
        <v>163</v>
      </c>
      <c r="B32" s="49">
        <f t="shared" ref="B32:M32" si="6">B23-B31</f>
        <v>76.807620000000043</v>
      </c>
      <c r="C32" s="49">
        <f t="shared" si="6"/>
        <v>556.25216999999998</v>
      </c>
      <c r="D32" s="49">
        <f t="shared" si="6"/>
        <v>1019.5281300000001</v>
      </c>
      <c r="E32" s="49">
        <f t="shared" si="6"/>
        <v>1467.2834700000003</v>
      </c>
      <c r="F32" s="49">
        <f t="shared" si="6"/>
        <v>1893.2661600000001</v>
      </c>
      <c r="G32" s="49">
        <f t="shared" si="6"/>
        <v>3735.9866700000002</v>
      </c>
      <c r="H32" s="49">
        <f t="shared" si="6"/>
        <v>5533.3624500000005</v>
      </c>
      <c r="I32" s="49">
        <f t="shared" si="6"/>
        <v>7265.4859500000002</v>
      </c>
      <c r="J32" s="49">
        <f t="shared" si="6"/>
        <v>8912.5940999999966</v>
      </c>
      <c r="K32" s="49">
        <f t="shared" si="6"/>
        <v>10466.784300000003</v>
      </c>
      <c r="L32" s="49">
        <f t="shared" si="6"/>
        <v>12949.560930000003</v>
      </c>
      <c r="M32" s="49">
        <f t="shared" si="6"/>
        <v>15269.565869999991</v>
      </c>
    </row>
    <row r="33" spans="1:14">
      <c r="A33" s="19" t="s">
        <v>164</v>
      </c>
      <c r="B33" s="46">
        <f t="shared" ref="B33:M33" si="7">IF(B23=0,0,B32/B23)</f>
        <v>0.10328880342110223</v>
      </c>
      <c r="C33" s="46">
        <f t="shared" si="7"/>
        <v>0.26766442110125732</v>
      </c>
      <c r="D33" s="46">
        <f t="shared" si="7"/>
        <v>0.28884844303793883</v>
      </c>
      <c r="E33" s="46">
        <f t="shared" si="7"/>
        <v>0.28563208856582778</v>
      </c>
      <c r="F33" s="46">
        <f t="shared" si="7"/>
        <v>0.27283794580323845</v>
      </c>
      <c r="G33" s="46">
        <f t="shared" si="7"/>
        <v>0.34833822400950287</v>
      </c>
      <c r="H33" s="46">
        <f t="shared" si="7"/>
        <v>0.37362465437087905</v>
      </c>
      <c r="I33" s="46">
        <f t="shared" si="7"/>
        <v>0.37726223813442927</v>
      </c>
      <c r="J33" s="46">
        <f t="shared" si="7"/>
        <v>0.36887433365340033</v>
      </c>
      <c r="K33" s="46">
        <f t="shared" si="7"/>
        <v>0.35301960923192122</v>
      </c>
      <c r="L33" s="46">
        <f t="shared" si="7"/>
        <v>0.34878689233270399</v>
      </c>
      <c r="M33" s="46">
        <f t="shared" si="7"/>
        <v>0.33558106227282514</v>
      </c>
    </row>
    <row r="34" spans="1:14">
      <c r="A34" s="38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39"/>
    </row>
    <row r="35" spans="1:14">
      <c r="A35" s="15" t="s">
        <v>165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</row>
    <row r="36" spans="1:14">
      <c r="A36" s="4" t="s">
        <v>250</v>
      </c>
      <c r="B36" s="20">
        <f>'Global Assumptions'!B45*'Global Assumptions'!B46</f>
        <v>14000</v>
      </c>
      <c r="C36" s="20">
        <f>'Global Assumptions'!B45*'Global Assumptions'!B46</f>
        <v>14000</v>
      </c>
      <c r="D36" s="20">
        <f>'Global Assumptions'!B45*'Global Assumptions'!B46</f>
        <v>14000</v>
      </c>
      <c r="E36" s="20">
        <f>'Global Assumptions'!B45*'Global Assumptions'!B46</f>
        <v>14000</v>
      </c>
      <c r="F36" s="20">
        <f>'Global Assumptions'!B45*'Global Assumptions'!B46</f>
        <v>14000</v>
      </c>
      <c r="G36" s="20">
        <f>'Global Assumptions'!B45*'Global Assumptions'!B46</f>
        <v>14000</v>
      </c>
      <c r="H36" s="20">
        <f>'Global Assumptions'!B45*'Global Assumptions'!B46</f>
        <v>14000</v>
      </c>
      <c r="I36" s="20">
        <f>'Global Assumptions'!B45*'Global Assumptions'!B46</f>
        <v>14000</v>
      </c>
      <c r="J36" s="20">
        <f>'Global Assumptions'!B45*'Global Assumptions'!B46</f>
        <v>14000</v>
      </c>
      <c r="K36" s="20">
        <f>'Global Assumptions'!B45*'Global Assumptions'!B46</f>
        <v>14000</v>
      </c>
      <c r="L36" s="20">
        <f>'Global Assumptions'!B45*'Global Assumptions'!B46</f>
        <v>14000</v>
      </c>
      <c r="M36" s="20">
        <f>'Global Assumptions'!B45*'Global Assumptions'!B46</f>
        <v>14000</v>
      </c>
    </row>
    <row r="37" spans="1:14">
      <c r="A37" s="4" t="s">
        <v>251</v>
      </c>
      <c r="B37" s="20">
        <f>'Global Assumptions'!B47*'Global Assumptions'!B48</f>
        <v>20000</v>
      </c>
      <c r="C37" s="20">
        <f>'Global Assumptions'!B47*'Global Assumptions'!B48</f>
        <v>20000</v>
      </c>
      <c r="D37" s="20">
        <f>'Global Assumptions'!B47*'Global Assumptions'!B48</f>
        <v>20000</v>
      </c>
      <c r="E37" s="20">
        <f>'Global Assumptions'!B47*'Global Assumptions'!B48</f>
        <v>20000</v>
      </c>
      <c r="F37" s="20">
        <f>'Global Assumptions'!B47*'Global Assumptions'!B48</f>
        <v>20000</v>
      </c>
      <c r="G37" s="20">
        <f>'Global Assumptions'!B47*'Global Assumptions'!B48</f>
        <v>20000</v>
      </c>
      <c r="H37" s="20">
        <f>'Global Assumptions'!B47*'Global Assumptions'!B48</f>
        <v>20000</v>
      </c>
      <c r="I37" s="20">
        <f>'Global Assumptions'!B47*'Global Assumptions'!B48</f>
        <v>20000</v>
      </c>
      <c r="J37" s="20">
        <f>'Global Assumptions'!B47*'Global Assumptions'!B48</f>
        <v>20000</v>
      </c>
      <c r="K37" s="20">
        <f>'Global Assumptions'!B47*'Global Assumptions'!B48</f>
        <v>20000</v>
      </c>
      <c r="L37" s="20">
        <f>'Global Assumptions'!B47*'Global Assumptions'!B48</f>
        <v>20000</v>
      </c>
      <c r="M37" s="20">
        <f>'Global Assumptions'!B47*'Global Assumptions'!B48</f>
        <v>20000</v>
      </c>
    </row>
    <row r="38" spans="1:14">
      <c r="A38" s="4" t="s">
        <v>252</v>
      </c>
      <c r="B38" s="43">
        <f>IF(1&gt;='Global Assumptions'!B49,'Global Assumptions'!B50,0)</f>
        <v>0</v>
      </c>
      <c r="C38" s="43">
        <f>IF(2&gt;='Global Assumptions'!B49,'Global Assumptions'!B50,0)</f>
        <v>0</v>
      </c>
      <c r="D38" s="43">
        <f>IF(3&gt;='Global Assumptions'!B49,'Global Assumptions'!B50,0)</f>
        <v>0</v>
      </c>
      <c r="E38" s="43">
        <f>IF(4&gt;='Global Assumptions'!B49,'Global Assumptions'!B50,0)</f>
        <v>0</v>
      </c>
      <c r="F38" s="43">
        <f>IF(5&gt;='Global Assumptions'!B49,'Global Assumptions'!B50,0)</f>
        <v>0</v>
      </c>
      <c r="G38" s="43">
        <f>IF(6&gt;='Global Assumptions'!B49,'Global Assumptions'!B50,0)</f>
        <v>0</v>
      </c>
      <c r="H38" s="43">
        <f>IF(7&gt;='Global Assumptions'!B49,'Global Assumptions'!B50,0)</f>
        <v>6000</v>
      </c>
      <c r="I38" s="43">
        <f>IF(8&gt;='Global Assumptions'!B49,'Global Assumptions'!B50,0)</f>
        <v>6000</v>
      </c>
      <c r="J38" s="43">
        <f>IF(9&gt;='Global Assumptions'!B49,'Global Assumptions'!B50,0)</f>
        <v>6000</v>
      </c>
      <c r="K38" s="43">
        <f>IF(10&gt;='Global Assumptions'!B49,'Global Assumptions'!B50,0)</f>
        <v>6000</v>
      </c>
      <c r="L38" s="43">
        <f>IF(11&gt;='Global Assumptions'!B49,'Global Assumptions'!B50,0)</f>
        <v>6000</v>
      </c>
      <c r="M38" s="43">
        <f>IF(12&gt;='Global Assumptions'!B49,'Global Assumptions'!B50,0)</f>
        <v>6000</v>
      </c>
    </row>
    <row r="39" spans="1:14">
      <c r="A39" s="4" t="s">
        <v>253</v>
      </c>
      <c r="B39" s="43">
        <f>IF(1&gt;='Global Assumptions'!B51,'Global Assumptions'!B52,0)</f>
        <v>0</v>
      </c>
      <c r="C39" s="43">
        <f>IF(2&gt;='Global Assumptions'!B51,'Global Assumptions'!B52,0)</f>
        <v>0</v>
      </c>
      <c r="D39" s="43">
        <f>IF(3&gt;='Global Assumptions'!B51,'Global Assumptions'!B52,0)</f>
        <v>0</v>
      </c>
      <c r="E39" s="43">
        <f>IF(4&gt;='Global Assumptions'!B51,'Global Assumptions'!B52,0)</f>
        <v>0</v>
      </c>
      <c r="F39" s="43">
        <f>IF(5&gt;='Global Assumptions'!B51,'Global Assumptions'!B52,0)</f>
        <v>6000</v>
      </c>
      <c r="G39" s="43">
        <f>IF(6&gt;='Global Assumptions'!B51,'Global Assumptions'!B52,0)</f>
        <v>6000</v>
      </c>
      <c r="H39" s="43">
        <f>IF(7&gt;='Global Assumptions'!B51,'Global Assumptions'!B52,0)</f>
        <v>6000</v>
      </c>
      <c r="I39" s="43">
        <f>IF(8&gt;='Global Assumptions'!B51,'Global Assumptions'!B52,0)</f>
        <v>6000</v>
      </c>
      <c r="J39" s="43">
        <f>IF(9&gt;='Global Assumptions'!B51,'Global Assumptions'!B52,0)</f>
        <v>6000</v>
      </c>
      <c r="K39" s="43">
        <f>IF(10&gt;='Global Assumptions'!B51,'Global Assumptions'!B52,0)</f>
        <v>6000</v>
      </c>
      <c r="L39" s="43">
        <f>IF(11&gt;='Global Assumptions'!B51,'Global Assumptions'!B52,0)</f>
        <v>6000</v>
      </c>
      <c r="M39" s="43">
        <f>IF(12&gt;='Global Assumptions'!B51,'Global Assumptions'!B52,0)</f>
        <v>6000</v>
      </c>
    </row>
    <row r="40" spans="1:14">
      <c r="A40" s="4" t="s">
        <v>254</v>
      </c>
      <c r="B40" s="43">
        <f>IF(1&gt;='Global Assumptions'!B53,'Global Assumptions'!B54,0)</f>
        <v>0</v>
      </c>
      <c r="C40" s="43">
        <f>IF(2&gt;='Global Assumptions'!B53,'Global Assumptions'!B54,0)</f>
        <v>0</v>
      </c>
      <c r="D40" s="43">
        <f>IF(3&gt;='Global Assumptions'!B53,'Global Assumptions'!B54,0)</f>
        <v>0</v>
      </c>
      <c r="E40" s="43">
        <f>IF(4&gt;='Global Assumptions'!B53,'Global Assumptions'!B54,0)</f>
        <v>0</v>
      </c>
      <c r="F40" s="43">
        <f>IF(5&gt;='Global Assumptions'!B53,'Global Assumptions'!B54,0)</f>
        <v>0</v>
      </c>
      <c r="G40" s="43">
        <f>IF(6&gt;='Global Assumptions'!B53,'Global Assumptions'!B54,0)</f>
        <v>0</v>
      </c>
      <c r="H40" s="43">
        <f>IF(7&gt;='Global Assumptions'!B53,'Global Assumptions'!B54,0)</f>
        <v>0</v>
      </c>
      <c r="I40" s="43">
        <f>IF(8&gt;='Global Assumptions'!B53,'Global Assumptions'!B54,0)</f>
        <v>8000</v>
      </c>
      <c r="J40" s="43">
        <f>IF(9&gt;='Global Assumptions'!B53,'Global Assumptions'!B54,0)</f>
        <v>8000</v>
      </c>
      <c r="K40" s="43">
        <f>IF(10&gt;='Global Assumptions'!B53,'Global Assumptions'!B54,0)</f>
        <v>8000</v>
      </c>
      <c r="L40" s="43">
        <f>IF(11&gt;='Global Assumptions'!B53,'Global Assumptions'!B54,0)</f>
        <v>8000</v>
      </c>
      <c r="M40" s="43">
        <f>IF(12&gt;='Global Assumptions'!B53,'Global Assumptions'!B54,0)</f>
        <v>8000</v>
      </c>
    </row>
    <row r="41" spans="1:14">
      <c r="A41" s="4" t="s">
        <v>255</v>
      </c>
      <c r="B41" s="43">
        <f>IF(1&gt;='Global Assumptions'!B55,'Global Assumptions'!B56,0)</f>
        <v>0</v>
      </c>
      <c r="C41" s="43">
        <f>IF(2&gt;='Global Assumptions'!B55,'Global Assumptions'!B56,0)</f>
        <v>0</v>
      </c>
      <c r="D41" s="43">
        <f>IF(3&gt;='Global Assumptions'!B55,'Global Assumptions'!B56,0)</f>
        <v>0</v>
      </c>
      <c r="E41" s="43">
        <f>IF(4&gt;='Global Assumptions'!B55,'Global Assumptions'!B56,0)</f>
        <v>0</v>
      </c>
      <c r="F41" s="43">
        <f>IF(5&gt;='Global Assumptions'!B55,'Global Assumptions'!B56,0)</f>
        <v>0</v>
      </c>
      <c r="G41" s="43">
        <f>IF(6&gt;='Global Assumptions'!B55,'Global Assumptions'!B56,0)</f>
        <v>0</v>
      </c>
      <c r="H41" s="43">
        <f>IF(7&gt;='Global Assumptions'!B55,'Global Assumptions'!B56,0)</f>
        <v>0</v>
      </c>
      <c r="I41" s="43">
        <f>IF(8&gt;='Global Assumptions'!B55,'Global Assumptions'!B56,0)</f>
        <v>0</v>
      </c>
      <c r="J41" s="43">
        <f>IF(9&gt;='Global Assumptions'!B55,'Global Assumptions'!B56,0)</f>
        <v>0</v>
      </c>
      <c r="K41" s="43">
        <f>IF(10&gt;='Global Assumptions'!B55,'Global Assumptions'!B56,0)</f>
        <v>4000</v>
      </c>
      <c r="L41" s="43">
        <f>IF(11&gt;='Global Assumptions'!B55,'Global Assumptions'!B56,0)</f>
        <v>4000</v>
      </c>
      <c r="M41" s="43">
        <f>IF(12&gt;='Global Assumptions'!B55,'Global Assumptions'!B56,0)</f>
        <v>4000</v>
      </c>
    </row>
    <row r="42" spans="1:14">
      <c r="A42" s="4" t="s">
        <v>256</v>
      </c>
      <c r="B42" s="43">
        <f>IF(1&gt;='Global Assumptions'!B57,'Global Assumptions'!B58,0)</f>
        <v>0</v>
      </c>
      <c r="C42" s="43">
        <f>IF(2&gt;='Global Assumptions'!B57,'Global Assumptions'!B58,0)</f>
        <v>0</v>
      </c>
      <c r="D42" s="43">
        <f>IF(3&gt;='Global Assumptions'!B57,'Global Assumptions'!B58,0)</f>
        <v>0</v>
      </c>
      <c r="E42" s="43">
        <f>IF(4&gt;='Global Assumptions'!B57,'Global Assumptions'!B58,0)</f>
        <v>0</v>
      </c>
      <c r="F42" s="43">
        <f>IF(5&gt;='Global Assumptions'!B57,'Global Assumptions'!B58,0)</f>
        <v>0</v>
      </c>
      <c r="G42" s="43">
        <f>IF(6&gt;='Global Assumptions'!B57,'Global Assumptions'!B58,0)</f>
        <v>0</v>
      </c>
      <c r="H42" s="43">
        <f>IF(7&gt;='Global Assumptions'!B57,'Global Assumptions'!B58,0)</f>
        <v>0</v>
      </c>
      <c r="I42" s="43">
        <f>IF(8&gt;='Global Assumptions'!B57,'Global Assumptions'!B58,0)</f>
        <v>0</v>
      </c>
      <c r="J42" s="43">
        <f>IF(9&gt;='Global Assumptions'!B57,'Global Assumptions'!B58,0)</f>
        <v>5000</v>
      </c>
      <c r="K42" s="43">
        <f>IF(10&gt;='Global Assumptions'!B57,'Global Assumptions'!B58,0)</f>
        <v>5000</v>
      </c>
      <c r="L42" s="43">
        <f>IF(11&gt;='Global Assumptions'!B57,'Global Assumptions'!B58,0)</f>
        <v>5000</v>
      </c>
      <c r="M42" s="43">
        <f>IF(12&gt;='Global Assumptions'!B57,'Global Assumptions'!B58,0)</f>
        <v>5000</v>
      </c>
    </row>
    <row r="43" spans="1:14">
      <c r="A43" s="4" t="s">
        <v>166</v>
      </c>
      <c r="B43" s="43">
        <f>(B36+B37+B38+B39+B40+B41+B42)*'Global Assumptions'!B59</f>
        <v>6800</v>
      </c>
      <c r="C43" s="43">
        <f>(C36+C37+C38+C39+C40+C41+C42)*'Global Assumptions'!B59</f>
        <v>6800</v>
      </c>
      <c r="D43" s="43">
        <f>(D36+D37+D38+D39+D40+D41+D42)*'Global Assumptions'!B59</f>
        <v>6800</v>
      </c>
      <c r="E43" s="43">
        <f>(E36+E37+E38+E39+E40+E41+E42)*'Global Assumptions'!B59</f>
        <v>6800</v>
      </c>
      <c r="F43" s="43">
        <f>(F36+F37+F38+F39+F40+F41+F42)*'Global Assumptions'!B59</f>
        <v>8000</v>
      </c>
      <c r="G43" s="43">
        <f>(G36+G37+G38+G39+G40+G41+G42)*'Global Assumptions'!B59</f>
        <v>8000</v>
      </c>
      <c r="H43" s="43">
        <f>(H36+H37+H38+H39+H40+H41+H42)*'Global Assumptions'!B59</f>
        <v>9200</v>
      </c>
      <c r="I43" s="43">
        <f>(I36+I37+I38+I39+I40+I41+I42)*'Global Assumptions'!B59</f>
        <v>10800</v>
      </c>
      <c r="J43" s="43">
        <f>(J36+J37+J38+J39+J40+J41+J42)*'Global Assumptions'!B59</f>
        <v>11800</v>
      </c>
      <c r="K43" s="43">
        <f>(K36+K37+K38+K39+K40+K41+K42)*'Global Assumptions'!B59</f>
        <v>12600</v>
      </c>
      <c r="L43" s="43">
        <f>(L36+L37+L38+L39+L40+L41+L42)*'Global Assumptions'!B59</f>
        <v>12600</v>
      </c>
      <c r="M43" s="43">
        <f>(M36+M37+M38+M39+M40+M41+M42)*'Global Assumptions'!B59</f>
        <v>12600</v>
      </c>
    </row>
    <row r="44" spans="1:14">
      <c r="A44" s="4" t="s">
        <v>257</v>
      </c>
      <c r="B44" s="20">
        <f>'Global Assumptions'!B69</f>
        <v>5000</v>
      </c>
      <c r="C44" s="20">
        <f t="shared" ref="C44:M44" si="8">ROUND(B44*1.1,0)</f>
        <v>5500</v>
      </c>
      <c r="D44" s="20">
        <f t="shared" si="8"/>
        <v>6050</v>
      </c>
      <c r="E44" s="20">
        <f t="shared" si="8"/>
        <v>6655</v>
      </c>
      <c r="F44" s="20">
        <f t="shared" si="8"/>
        <v>7321</v>
      </c>
      <c r="G44" s="20">
        <f t="shared" si="8"/>
        <v>8053</v>
      </c>
      <c r="H44" s="20">
        <f t="shared" si="8"/>
        <v>8858</v>
      </c>
      <c r="I44" s="20">
        <f t="shared" si="8"/>
        <v>9744</v>
      </c>
      <c r="J44" s="20">
        <f t="shared" si="8"/>
        <v>10718</v>
      </c>
      <c r="K44" s="20">
        <f t="shared" si="8"/>
        <v>11790</v>
      </c>
      <c r="L44" s="20">
        <f t="shared" si="8"/>
        <v>12969</v>
      </c>
      <c r="M44" s="20">
        <f t="shared" si="8"/>
        <v>14266</v>
      </c>
    </row>
    <row r="45" spans="1:14">
      <c r="A45" s="4" t="s">
        <v>258</v>
      </c>
      <c r="B45" s="43">
        <f>B10 + B15*'Global Assumptions'!B106</f>
        <v>5850</v>
      </c>
      <c r="C45" s="43">
        <f>C10 + C15*'Global Assumptions'!B106</f>
        <v>7275</v>
      </c>
      <c r="D45" s="43">
        <f>D10 + D15*'Global Assumptions'!B106</f>
        <v>9038</v>
      </c>
      <c r="E45" s="43">
        <f>E10 + E15*'Global Assumptions'!B106</f>
        <v>11335</v>
      </c>
      <c r="F45" s="43">
        <f>F10 + F15*'Global Assumptions'!B106</f>
        <v>14150</v>
      </c>
      <c r="G45" s="43">
        <f>G10 + G15*'Global Assumptions'!B106</f>
        <v>17631</v>
      </c>
      <c r="H45" s="43">
        <f>H10 + H15*'Global Assumptions'!B106</f>
        <v>22020</v>
      </c>
      <c r="I45" s="43">
        <f>I10 + I15*'Global Assumptions'!B106</f>
        <v>27431</v>
      </c>
      <c r="J45" s="43">
        <f>J10 + J15*'Global Assumptions'!B106</f>
        <v>34233</v>
      </c>
      <c r="K45" s="43">
        <f>K10 + K15*'Global Assumptions'!B106</f>
        <v>42754</v>
      </c>
      <c r="L45" s="43">
        <f>L10 + L15*'Global Assumptions'!B106</f>
        <v>53443</v>
      </c>
      <c r="M45" s="43">
        <f>M10 + M15*'Global Assumptions'!B106</f>
        <v>66729</v>
      </c>
    </row>
    <row r="46" spans="1:14">
      <c r="A46" s="11" t="s">
        <v>259</v>
      </c>
      <c r="B46" s="41">
        <f t="shared" ref="B46:M46" si="9">B44+B45</f>
        <v>10850</v>
      </c>
      <c r="C46" s="41">
        <f t="shared" si="9"/>
        <v>12775</v>
      </c>
      <c r="D46" s="41">
        <f t="shared" si="9"/>
        <v>15088</v>
      </c>
      <c r="E46" s="41">
        <f t="shared" si="9"/>
        <v>17990</v>
      </c>
      <c r="F46" s="41">
        <f t="shared" si="9"/>
        <v>21471</v>
      </c>
      <c r="G46" s="41">
        <f t="shared" si="9"/>
        <v>25684</v>
      </c>
      <c r="H46" s="41">
        <f t="shared" si="9"/>
        <v>30878</v>
      </c>
      <c r="I46" s="41">
        <f t="shared" si="9"/>
        <v>37175</v>
      </c>
      <c r="J46" s="41">
        <f t="shared" si="9"/>
        <v>44951</v>
      </c>
      <c r="K46" s="41">
        <f t="shared" si="9"/>
        <v>54544</v>
      </c>
      <c r="L46" s="41">
        <f t="shared" si="9"/>
        <v>66412</v>
      </c>
      <c r="M46" s="41">
        <f t="shared" si="9"/>
        <v>80995</v>
      </c>
    </row>
    <row r="47" spans="1:14">
      <c r="A47" s="4" t="s">
        <v>260</v>
      </c>
      <c r="B47" s="43">
        <f>B5*'Global Assumptions'!B10</f>
        <v>800</v>
      </c>
      <c r="C47" s="43">
        <f>(C5-B5)*'Global Assumptions'!B10</f>
        <v>2400</v>
      </c>
      <c r="D47" s="43">
        <f>(D5-C5)*'Global Assumptions'!B10</f>
        <v>2400</v>
      </c>
      <c r="E47" s="43">
        <f>(E5-D5)*'Global Assumptions'!B10</f>
        <v>2400</v>
      </c>
      <c r="F47" s="43">
        <f>(F5-E5)*'Global Assumptions'!B10</f>
        <v>2400</v>
      </c>
      <c r="G47" s="43">
        <f>(G5-F5)*'Global Assumptions'!B10</f>
        <v>8000</v>
      </c>
      <c r="H47" s="43">
        <f>(H5-G5)*'Global Assumptions'!B10</f>
        <v>8000</v>
      </c>
      <c r="I47" s="43">
        <f>(I5-H5)*'Global Assumptions'!B10</f>
        <v>8000</v>
      </c>
      <c r="J47" s="43">
        <f>(J5-I5)*'Global Assumptions'!B10</f>
        <v>8000</v>
      </c>
      <c r="K47" s="43">
        <f>(K5-J5)*'Global Assumptions'!B10</f>
        <v>8000</v>
      </c>
      <c r="L47" s="43">
        <f>(L5-K5)*'Global Assumptions'!B10</f>
        <v>12000</v>
      </c>
      <c r="M47" s="43">
        <f>(M5-L5)*'Global Assumptions'!B10</f>
        <v>12000</v>
      </c>
    </row>
    <row r="48" spans="1:14">
      <c r="A48" s="4" t="s">
        <v>261</v>
      </c>
      <c r="B48" s="43">
        <f>'Global Assumptions'!B62+'Global Assumptions'!B63+'Global Assumptions'!B64+'Global Assumptions'!B65 + ROUND(B18/1000,0)*'Global Assumptions'!B107</f>
        <v>6250</v>
      </c>
      <c r="C48" s="43">
        <f>'Global Assumptions'!B62+'Global Assumptions'!B63+'Global Assumptions'!B64+'Global Assumptions'!B65 + ROUND(C18/1000,0)*'Global Assumptions'!B107</f>
        <v>6300</v>
      </c>
      <c r="D48" s="43">
        <f>'Global Assumptions'!B62+'Global Assumptions'!B63+'Global Assumptions'!B64+'Global Assumptions'!B65 + ROUND(D18/1000,0)*'Global Assumptions'!B107</f>
        <v>6350</v>
      </c>
      <c r="E48" s="43">
        <f>'Global Assumptions'!B62+'Global Assumptions'!B63+'Global Assumptions'!B64+'Global Assumptions'!B65 + ROUND(E18/1000,0)*'Global Assumptions'!B107</f>
        <v>6400</v>
      </c>
      <c r="F48" s="43">
        <f>'Global Assumptions'!B62+'Global Assumptions'!B63+'Global Assumptions'!B64+'Global Assumptions'!B65 + ROUND(F18/1000,0)*'Global Assumptions'!B107</f>
        <v>6450</v>
      </c>
      <c r="G48" s="43">
        <f>'Global Assumptions'!B62+'Global Assumptions'!B63+'Global Assumptions'!B64+'Global Assumptions'!B65 + ROUND(G18/1000,0)*'Global Assumptions'!B107</f>
        <v>6550</v>
      </c>
      <c r="H48" s="43">
        <f>'Global Assumptions'!B62+'Global Assumptions'!B63+'Global Assumptions'!B64+'Global Assumptions'!B65 + ROUND(H18/1000,0)*'Global Assumptions'!B107</f>
        <v>6650</v>
      </c>
      <c r="I48" s="43">
        <f>'Global Assumptions'!B62+'Global Assumptions'!B63+'Global Assumptions'!B64+'Global Assumptions'!B65 + ROUND(I18/1000,0)*'Global Assumptions'!B107</f>
        <v>6800</v>
      </c>
      <c r="J48" s="43">
        <f>'Global Assumptions'!B62+'Global Assumptions'!B63+'Global Assumptions'!B64+'Global Assumptions'!B65 + ROUND(J18/1000,0)*'Global Assumptions'!B107</f>
        <v>6950</v>
      </c>
      <c r="K48" s="43">
        <f>'Global Assumptions'!B62+'Global Assumptions'!B63+'Global Assumptions'!B64+'Global Assumptions'!B65 + ROUND(K18/1000,0)*'Global Assumptions'!B107</f>
        <v>7150</v>
      </c>
      <c r="L48" s="43">
        <f>'Global Assumptions'!B62+'Global Assumptions'!B63+'Global Assumptions'!B64+'Global Assumptions'!B65 + ROUND(L18/1000,0)*'Global Assumptions'!B107</f>
        <v>7400</v>
      </c>
      <c r="M48" s="43">
        <f>'Global Assumptions'!B62+'Global Assumptions'!B63+'Global Assumptions'!B64+'Global Assumptions'!B65 + ROUND(M18/1000,0)*'Global Assumptions'!B107</f>
        <v>7700</v>
      </c>
    </row>
    <row r="49" spans="1:14" ht="17" thickBot="1">
      <c r="A49" s="11" t="s">
        <v>167</v>
      </c>
      <c r="B49" s="51">
        <f t="shared" ref="B49:M49" si="10">SUM(B36:B48)</f>
        <v>69550</v>
      </c>
      <c r="C49" s="51">
        <f t="shared" si="10"/>
        <v>75050</v>
      </c>
      <c r="D49" s="51">
        <f t="shared" si="10"/>
        <v>79726</v>
      </c>
      <c r="E49" s="51">
        <f t="shared" si="10"/>
        <v>85580</v>
      </c>
      <c r="F49" s="51">
        <f t="shared" si="10"/>
        <v>99792</v>
      </c>
      <c r="G49" s="51">
        <f t="shared" si="10"/>
        <v>113918</v>
      </c>
      <c r="H49" s="51">
        <f t="shared" si="10"/>
        <v>131606</v>
      </c>
      <c r="I49" s="51">
        <f t="shared" si="10"/>
        <v>153950</v>
      </c>
      <c r="J49" s="51">
        <f t="shared" si="10"/>
        <v>175652</v>
      </c>
      <c r="K49" s="51">
        <f t="shared" si="10"/>
        <v>199838</v>
      </c>
      <c r="L49" s="51">
        <f t="shared" si="10"/>
        <v>227824</v>
      </c>
      <c r="M49" s="51">
        <f t="shared" si="10"/>
        <v>257290</v>
      </c>
    </row>
    <row r="50" spans="1:14" ht="18" thickTop="1" thickBot="1">
      <c r="A50" s="38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39"/>
    </row>
    <row r="51" spans="1:14" ht="18" thickTop="1" thickBot="1">
      <c r="A51" s="11" t="s">
        <v>168</v>
      </c>
      <c r="B51" s="52">
        <f t="shared" ref="B51:M51" si="11">B32-B49</f>
        <v>-69473.192379999993</v>
      </c>
      <c r="C51" s="52">
        <f t="shared" si="11"/>
        <v>-74493.747829999993</v>
      </c>
      <c r="D51" s="52">
        <f t="shared" si="11"/>
        <v>-78706.471869999994</v>
      </c>
      <c r="E51" s="52">
        <f t="shared" si="11"/>
        <v>-84112.716530000005</v>
      </c>
      <c r="F51" s="52">
        <f t="shared" si="11"/>
        <v>-97898.733840000001</v>
      </c>
      <c r="G51" s="52">
        <f t="shared" si="11"/>
        <v>-110182.01333</v>
      </c>
      <c r="H51" s="52">
        <f t="shared" si="11"/>
        <v>-126072.63755</v>
      </c>
      <c r="I51" s="52">
        <f t="shared" si="11"/>
        <v>-146684.51405</v>
      </c>
      <c r="J51" s="52">
        <f t="shared" si="11"/>
        <v>-166739.40590000001</v>
      </c>
      <c r="K51" s="52">
        <f t="shared" si="11"/>
        <v>-189371.2157</v>
      </c>
      <c r="L51" s="52">
        <f t="shared" si="11"/>
        <v>-214874.43906999999</v>
      </c>
      <c r="M51" s="52">
        <f t="shared" si="11"/>
        <v>-242020.43413000001</v>
      </c>
    </row>
    <row r="52" spans="1:14" ht="17" thickTop="1">
      <c r="A52" s="38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39"/>
    </row>
    <row r="53" spans="1:14">
      <c r="A53" s="14" t="s">
        <v>169</v>
      </c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3"/>
    </row>
    <row r="54" spans="1:14">
      <c r="A54" s="4" t="s">
        <v>170</v>
      </c>
      <c r="B54" s="47">
        <f t="shared" ref="B54:M54" si="12">B51</f>
        <v>-69473.192379999993</v>
      </c>
      <c r="C54" s="47">
        <f t="shared" si="12"/>
        <v>-74493.747829999993</v>
      </c>
      <c r="D54" s="47">
        <f t="shared" si="12"/>
        <v>-78706.471869999994</v>
      </c>
      <c r="E54" s="47">
        <f t="shared" si="12"/>
        <v>-84112.716530000005</v>
      </c>
      <c r="F54" s="47">
        <f t="shared" si="12"/>
        <v>-97898.733840000001</v>
      </c>
      <c r="G54" s="47">
        <f t="shared" si="12"/>
        <v>-110182.01333</v>
      </c>
      <c r="H54" s="47">
        <f t="shared" si="12"/>
        <v>-126072.63755</v>
      </c>
      <c r="I54" s="47">
        <f t="shared" si="12"/>
        <v>-146684.51405</v>
      </c>
      <c r="J54" s="47">
        <f t="shared" si="12"/>
        <v>-166739.40590000001</v>
      </c>
      <c r="K54" s="47">
        <f t="shared" si="12"/>
        <v>-189371.2157</v>
      </c>
      <c r="L54" s="47">
        <f t="shared" si="12"/>
        <v>-214874.43906999999</v>
      </c>
      <c r="M54" s="47">
        <f t="shared" si="12"/>
        <v>-242020.43413000001</v>
      </c>
    </row>
    <row r="55" spans="1:14" ht="17" thickBot="1">
      <c r="A55" s="11" t="s">
        <v>171</v>
      </c>
      <c r="B55" s="53">
        <f>'Global Assumptions'!B81+B54</f>
        <v>1915526.8076200001</v>
      </c>
      <c r="C55" s="53">
        <f t="shared" ref="C55:M55" si="13">B55+C54</f>
        <v>1841033.0597900001</v>
      </c>
      <c r="D55" s="53">
        <f t="shared" si="13"/>
        <v>1762326.5879200001</v>
      </c>
      <c r="E55" s="53">
        <f t="shared" si="13"/>
        <v>1678213.87139</v>
      </c>
      <c r="F55" s="53">
        <f t="shared" si="13"/>
        <v>1580315.1375500001</v>
      </c>
      <c r="G55" s="53">
        <f t="shared" si="13"/>
        <v>1470133.1242200001</v>
      </c>
      <c r="H55" s="53">
        <f t="shared" si="13"/>
        <v>1344060.48667</v>
      </c>
      <c r="I55" s="53">
        <f t="shared" si="13"/>
        <v>1197375.9726200001</v>
      </c>
      <c r="J55" s="53">
        <f t="shared" si="13"/>
        <v>1030636.5667200001</v>
      </c>
      <c r="K55" s="53">
        <f t="shared" si="13"/>
        <v>841265.35102000018</v>
      </c>
      <c r="L55" s="53">
        <f t="shared" si="13"/>
        <v>626390.91195000021</v>
      </c>
      <c r="M55" s="53">
        <f t="shared" si="13"/>
        <v>384370.4778200002</v>
      </c>
    </row>
    <row r="56" spans="1:14" ht="17" thickTop="1">
      <c r="A56" s="19" t="s">
        <v>172</v>
      </c>
      <c r="B56" s="21">
        <f t="shared" ref="B56:M56" si="14">IF(B54&gt;=0,"N/A",IF(B55&lt;0,0,ROUND(-B55/B54,1)))</f>
        <v>27.6</v>
      </c>
      <c r="C56" s="21">
        <f t="shared" si="14"/>
        <v>24.7</v>
      </c>
      <c r="D56" s="21">
        <f t="shared" si="14"/>
        <v>22.4</v>
      </c>
      <c r="E56" s="21">
        <f t="shared" si="14"/>
        <v>20</v>
      </c>
      <c r="F56" s="21">
        <f t="shared" si="14"/>
        <v>16.100000000000001</v>
      </c>
      <c r="G56" s="21">
        <f t="shared" si="14"/>
        <v>13.3</v>
      </c>
      <c r="H56" s="21">
        <f t="shared" si="14"/>
        <v>10.7</v>
      </c>
      <c r="I56" s="21">
        <f t="shared" si="14"/>
        <v>8.1999999999999993</v>
      </c>
      <c r="J56" s="21">
        <f t="shared" si="14"/>
        <v>6.2</v>
      </c>
      <c r="K56" s="21">
        <f t="shared" si="14"/>
        <v>4.4000000000000004</v>
      </c>
      <c r="L56" s="21">
        <f t="shared" si="14"/>
        <v>2.9</v>
      </c>
      <c r="M56" s="21">
        <f t="shared" si="14"/>
        <v>1.6</v>
      </c>
    </row>
    <row r="57" spans="1:14">
      <c r="A57" s="19" t="s">
        <v>173</v>
      </c>
      <c r="B57" s="21" t="str">
        <f>IF(B55&lt;'Global Assumptions'!B79,"YES","No")</f>
        <v>No</v>
      </c>
      <c r="C57" s="21" t="str">
        <f>IF(C55&lt;'Global Assumptions'!B79,"YES","No")</f>
        <v>No</v>
      </c>
      <c r="D57" s="21" t="str">
        <f>IF(D55&lt;'Global Assumptions'!B79,"YES","No")</f>
        <v>No</v>
      </c>
      <c r="E57" s="21" t="str">
        <f>IF(E55&lt;'Global Assumptions'!B79,"YES","No")</f>
        <v>No</v>
      </c>
      <c r="F57" s="21" t="str">
        <f>IF(F55&lt;'Global Assumptions'!B79,"YES","No")</f>
        <v>No</v>
      </c>
      <c r="G57" s="21" t="str">
        <f>IF(G55&lt;'Global Assumptions'!B79,"YES","No")</f>
        <v>No</v>
      </c>
      <c r="H57" s="21" t="str">
        <f>IF(H55&lt;'Global Assumptions'!B79,"YES","No")</f>
        <v>No</v>
      </c>
      <c r="I57" s="21" t="str">
        <f>IF(I55&lt;'Global Assumptions'!B79,"YES","No")</f>
        <v>No</v>
      </c>
      <c r="J57" s="21" t="str">
        <f>IF(J55&lt;'Global Assumptions'!B79,"YES","No")</f>
        <v>No</v>
      </c>
      <c r="K57" s="21" t="str">
        <f>IF(K55&lt;'Global Assumptions'!B79,"YES","No")</f>
        <v>No</v>
      </c>
      <c r="L57" s="21" t="str">
        <f>IF(L55&lt;'Global Assumptions'!B79,"YES","No")</f>
        <v>No</v>
      </c>
      <c r="M57" s="21" t="str">
        <f>IF(M55&lt;'Global Assumptions'!B79,"YES","No")</f>
        <v>No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9D15F-6991-1443-AF52-86704FFB755D}">
  <dimension ref="A1:E59"/>
  <sheetViews>
    <sheetView workbookViewId="0">
      <pane ySplit="2" topLeftCell="A18" activePane="bottomLeft" state="frozen"/>
      <selection pane="bottomLeft" activeCell="D42" sqref="D42"/>
    </sheetView>
  </sheetViews>
  <sheetFormatPr baseColWidth="10" defaultRowHeight="16"/>
  <cols>
    <col min="1" max="1" width="41.6640625" customWidth="1"/>
    <col min="2" max="4" width="20" customWidth="1"/>
    <col min="5" max="5" width="58.33203125" customWidth="1"/>
  </cols>
  <sheetData>
    <row r="1" spans="1:5" ht="18">
      <c r="A1" s="1" t="s">
        <v>174</v>
      </c>
      <c r="B1" s="2"/>
      <c r="C1" s="2"/>
      <c r="D1" s="2"/>
      <c r="E1" s="2"/>
    </row>
    <row r="2" spans="1:5">
      <c r="A2" s="12"/>
      <c r="B2" s="13" t="s">
        <v>175</v>
      </c>
      <c r="C2" s="13" t="s">
        <v>176</v>
      </c>
      <c r="D2" s="13" t="s">
        <v>177</v>
      </c>
      <c r="E2" s="13" t="s">
        <v>142</v>
      </c>
    </row>
    <row r="3" spans="1:5">
      <c r="A3" s="14" t="s">
        <v>178</v>
      </c>
      <c r="B3" s="45"/>
      <c r="C3" s="45"/>
      <c r="D3" s="45"/>
      <c r="E3" s="3"/>
    </row>
    <row r="4" spans="1:5">
      <c r="A4" s="4" t="s">
        <v>179</v>
      </c>
      <c r="B4" s="18">
        <f>'12-Mo Projections'!M5</f>
        <v>93</v>
      </c>
      <c r="C4" s="42">
        <f>ROUND(B4*'Global Assumptions'!B84,0)</f>
        <v>837</v>
      </c>
      <c r="D4" s="42">
        <f>ROUND(C4*'Global Assumptions'!B85,0)</f>
        <v>4185</v>
      </c>
    </row>
    <row r="5" spans="1:5">
      <c r="A5" s="4" t="s">
        <v>180</v>
      </c>
      <c r="B5" s="18">
        <f>'12-Mo Projections'!M6</f>
        <v>4650</v>
      </c>
      <c r="C5" s="42">
        <f>C4*'Global Assumptions'!B7</f>
        <v>41850</v>
      </c>
      <c r="D5" s="42">
        <f>D4*'Global Assumptions'!B7</f>
        <v>209250</v>
      </c>
    </row>
    <row r="6" spans="1:5">
      <c r="A6" s="4" t="s">
        <v>181</v>
      </c>
      <c r="B6" s="18">
        <f>'12-Mo Projections'!M16</f>
        <v>1713</v>
      </c>
      <c r="C6" s="42">
        <f>ROUND(B6*'Global Assumptions'!B84,0)</f>
        <v>15417</v>
      </c>
      <c r="D6" s="42">
        <f>ROUND(C6*'Global Assumptions'!B85,0)</f>
        <v>77085</v>
      </c>
    </row>
    <row r="7" spans="1:5">
      <c r="A7" s="4" t="s">
        <v>182</v>
      </c>
      <c r="B7" s="18">
        <f>'12-Mo Projections'!M14</f>
        <v>26253</v>
      </c>
      <c r="C7" s="42">
        <f>ROUND(B7*'Global Assumptions'!B84,0)</f>
        <v>236277</v>
      </c>
      <c r="D7" s="42">
        <f>ROUND(C7*'Global Assumptions'!B85,0)</f>
        <v>1181385</v>
      </c>
    </row>
    <row r="8" spans="1:5">
      <c r="A8" s="11" t="s">
        <v>151</v>
      </c>
      <c r="B8" s="40">
        <f>B5+B6+B7</f>
        <v>32616</v>
      </c>
      <c r="C8" s="40">
        <f>C5+C6+C7</f>
        <v>293544</v>
      </c>
      <c r="D8" s="40">
        <f>D5+D6+D7</f>
        <v>1467720</v>
      </c>
    </row>
    <row r="9" spans="1:5">
      <c r="A9" s="4" t="s">
        <v>183</v>
      </c>
      <c r="B9" s="18">
        <f>'Global Assumptions'!B46+'Global Assumptions'!B48+1+1+1+1+1</f>
        <v>9</v>
      </c>
      <c r="C9" s="42">
        <f>B9+'Global Assumptions'!B90</f>
        <v>14</v>
      </c>
      <c r="D9" s="42">
        <f>C9+'Global Assumptions'!B91</f>
        <v>24</v>
      </c>
    </row>
    <row r="10" spans="1:5">
      <c r="A10" s="4" t="s">
        <v>184</v>
      </c>
      <c r="B10" s="22">
        <f>'Global Assumptions'!B39</f>
        <v>0.05</v>
      </c>
      <c r="C10" s="54">
        <f>'Global Assumptions'!B86</f>
        <v>0.04</v>
      </c>
      <c r="D10" s="54">
        <f>'Global Assumptions'!B87</f>
        <v>0.03</v>
      </c>
    </row>
    <row r="11" spans="1:5">
      <c r="A11" s="37"/>
      <c r="B11" s="6"/>
      <c r="C11" s="6"/>
      <c r="D11" s="6"/>
    </row>
    <row r="12" spans="1:5">
      <c r="A12" s="11" t="s">
        <v>185</v>
      </c>
      <c r="B12" s="6" t="s">
        <v>216</v>
      </c>
      <c r="C12" s="6">
        <f>ROUND((1/'Global Assumptions'!B86)*'Global Assumptions'!B28/'Global Assumptions'!B113,1)</f>
        <v>4.5999999999999996</v>
      </c>
      <c r="D12" s="6">
        <f>ROUND((1/'Global Assumptions'!B87)*'Global Assumptions'!B28/'Global Assumptions'!B113,1)</f>
        <v>6.1</v>
      </c>
    </row>
    <row r="13" spans="1:5">
      <c r="A13" s="37"/>
      <c r="B13" s="6"/>
      <c r="C13" s="6"/>
      <c r="D13" s="6"/>
    </row>
    <row r="14" spans="1:5">
      <c r="A14" s="14" t="s">
        <v>152</v>
      </c>
      <c r="B14" s="45"/>
      <c r="C14" s="45"/>
      <c r="D14" s="45"/>
      <c r="E14" s="3"/>
    </row>
    <row r="15" spans="1:5">
      <c r="A15" s="4" t="s">
        <v>153</v>
      </c>
      <c r="B15" s="20">
        <f>SUM('12-Mo Projections'!B21:'12-Mo Projections'!M21)</f>
        <v>105250</v>
      </c>
      <c r="C15" s="43">
        <f>C5*'Global Assumptions'!B8*12</f>
        <v>2511000</v>
      </c>
      <c r="D15" s="43">
        <f>D5*'Global Assumptions'!B8*12</f>
        <v>12555000</v>
      </c>
    </row>
    <row r="16" spans="1:5">
      <c r="A16" s="4" t="s">
        <v>154</v>
      </c>
      <c r="B16" s="20">
        <f>SUM('12-Mo Projections'!B22:'12-Mo Projections'!M22)</f>
        <v>94411.32</v>
      </c>
      <c r="C16" s="43">
        <f>C6*'Global Assumptions'!B28*12</f>
        <v>2403201.96</v>
      </c>
      <c r="D16" s="43">
        <f>D6*'Global Assumptions'!B28*12</f>
        <v>12016009.800000001</v>
      </c>
    </row>
    <row r="17" spans="1:4">
      <c r="A17" s="11" t="s">
        <v>155</v>
      </c>
      <c r="B17" s="49">
        <f>B15+B16</f>
        <v>199661.32</v>
      </c>
      <c r="C17" s="49">
        <f>C15+C16</f>
        <v>4914201.96</v>
      </c>
      <c r="D17" s="49">
        <f>D15+D16</f>
        <v>24571009.800000001</v>
      </c>
    </row>
    <row r="18" spans="1:4">
      <c r="A18" s="19" t="s">
        <v>186</v>
      </c>
      <c r="B18" s="46" t="s">
        <v>187</v>
      </c>
      <c r="C18" s="46">
        <f>(C17-B17)/B17</f>
        <v>23.612688927429708</v>
      </c>
      <c r="D18" s="46">
        <f>(D17-C17)/C17</f>
        <v>4</v>
      </c>
    </row>
    <row r="19" spans="1:4">
      <c r="A19" s="37"/>
      <c r="B19" s="6"/>
      <c r="C19" s="6"/>
      <c r="D19" s="6"/>
    </row>
    <row r="20" spans="1:4">
      <c r="A20" s="15" t="s">
        <v>156</v>
      </c>
      <c r="B20" s="6"/>
      <c r="C20" s="6"/>
      <c r="D20" s="6"/>
    </row>
    <row r="21" spans="1:4">
      <c r="A21" s="4" t="s">
        <v>262</v>
      </c>
      <c r="B21" s="43">
        <f>SUM('12-Mo Projections'!B26:'12-Mo Projections'!M26)+SUM('12-Mo Projections'!B27:'12-Mo Projections'!M27)</f>
        <v>37282.487500000003</v>
      </c>
      <c r="C21" s="43">
        <f>(C5*'Global Assumptions'!B9+C6)*'Global Assumptions'!B32*'Global Assumptions'!B88*12 + C7*'Global Assumptions'!B32*'Global Assumptions'!B33*'Global Assumptions'!B88*12</f>
        <v>837456.97499999998</v>
      </c>
      <c r="D21" s="43">
        <f>(D5*'Global Assumptions'!B9+D6)*'Global Assumptions'!B32*'Global Assumptions'!B89*12 + D7*'Global Assumptions'!B32*'Global Assumptions'!B33*'Global Assumptions'!B89*12</f>
        <v>3256777.1249999995</v>
      </c>
    </row>
    <row r="22" spans="1:4">
      <c r="A22" s="4" t="s">
        <v>263</v>
      </c>
      <c r="B22" s="43">
        <f>SUM('12-Mo Projections'!B28:'12-Mo Projections'!M28)</f>
        <v>83448.950000000012</v>
      </c>
      <c r="C22" s="43">
        <f>(C5*'Global Assumptions'!B9+C6+C7)*'Global Assumptions'!B34*12</f>
        <v>2093785.2000000002</v>
      </c>
      <c r="D22" s="43">
        <f>(D5*'Global Assumptions'!B9+D6+D7)*'Global Assumptions'!B34*12</f>
        <v>10468926</v>
      </c>
    </row>
    <row r="23" spans="1:4">
      <c r="A23" s="4" t="s">
        <v>160</v>
      </c>
      <c r="B23" s="43">
        <f>SUM('12-Mo Projections'!B29:'12-Mo Projections'!M29)</f>
        <v>5790.1782800000001</v>
      </c>
      <c r="C23" s="43">
        <f>C17*'Global Assumptions'!B35</f>
        <v>142511.85683999999</v>
      </c>
      <c r="D23" s="43">
        <f>D17*'Global Assumptions'!B35</f>
        <v>712559.28420000011</v>
      </c>
    </row>
    <row r="24" spans="1:4">
      <c r="A24" s="4" t="s">
        <v>161</v>
      </c>
      <c r="B24" s="43">
        <f>SUM('12-Mo Projections'!B30:'12-Mo Projections'!M30)</f>
        <v>3993.2264000000005</v>
      </c>
      <c r="C24" s="43">
        <f>C17*'Global Assumptions'!B36</f>
        <v>98284.039199999999</v>
      </c>
      <c r="D24" s="43">
        <f>D17*'Global Assumptions'!B36</f>
        <v>491420.196</v>
      </c>
    </row>
    <row r="25" spans="1:4">
      <c r="A25" s="11" t="s">
        <v>162</v>
      </c>
      <c r="B25" s="41">
        <f>SUM(B21:B24)</f>
        <v>130514.84218000002</v>
      </c>
      <c r="C25" s="41">
        <f>SUM(C21:C24)</f>
        <v>3172038.0710400003</v>
      </c>
      <c r="D25" s="41">
        <f>SUM(D21:D24)</f>
        <v>14929682.6052</v>
      </c>
    </row>
    <row r="26" spans="1:4">
      <c r="A26" s="11" t="s">
        <v>163</v>
      </c>
      <c r="B26" s="49">
        <f>B17-B25</f>
        <v>69146.477819999986</v>
      </c>
      <c r="C26" s="49">
        <f>C17-C25</f>
        <v>1742163.8889599997</v>
      </c>
      <c r="D26" s="49">
        <f>D17-D25</f>
        <v>9641327.1948000006</v>
      </c>
    </row>
    <row r="27" spans="1:4">
      <c r="A27" s="19" t="s">
        <v>164</v>
      </c>
      <c r="B27" s="46">
        <f>B26/B17</f>
        <v>0.3463188454328559</v>
      </c>
      <c r="C27" s="46">
        <f>C26/C17</f>
        <v>0.35451613571046636</v>
      </c>
      <c r="D27" s="46">
        <f>D26/D17</f>
        <v>0.3923862825857487</v>
      </c>
    </row>
    <row r="28" spans="1:4">
      <c r="A28" s="37"/>
      <c r="B28" s="6"/>
      <c r="C28" s="6"/>
      <c r="D28" s="6"/>
    </row>
    <row r="29" spans="1:4">
      <c r="A29" s="15" t="s">
        <v>165</v>
      </c>
      <c r="B29" s="6"/>
      <c r="C29" s="6"/>
      <c r="D29" s="6"/>
    </row>
    <row r="30" spans="1:4">
      <c r="A30" s="4" t="s">
        <v>250</v>
      </c>
      <c r="B30" s="43">
        <f>SUM('12-Mo Projections'!B36:'12-Mo Projections'!M36)</f>
        <v>168000</v>
      </c>
      <c r="C30" s="43">
        <f>'Global Assumptions'!B45*'Global Assumptions'!B46*12</f>
        <v>168000</v>
      </c>
      <c r="D30" s="43">
        <f>'Global Assumptions'!B45*'Global Assumptions'!B46*12</f>
        <v>168000</v>
      </c>
    </row>
    <row r="31" spans="1:4">
      <c r="A31" s="4" t="s">
        <v>251</v>
      </c>
      <c r="B31" s="43">
        <f>SUM('12-Mo Projections'!B37:'12-Mo Projections'!M37)</f>
        <v>240000</v>
      </c>
      <c r="C31" s="43">
        <f>('Global Assumptions'!B48+2)*'Global Assumptions'!B92*12</f>
        <v>360000</v>
      </c>
      <c r="D31" s="43">
        <f>(4+3)*'Global Assumptions'!B93*12</f>
        <v>714000</v>
      </c>
    </row>
    <row r="32" spans="1:4">
      <c r="A32" s="4" t="s">
        <v>252</v>
      </c>
      <c r="B32" s="43">
        <f>SUM('12-Mo Projections'!B38:'12-Mo Projections'!M38)</f>
        <v>36000</v>
      </c>
      <c r="C32" s="43">
        <f>(1+1)*'Global Assumptions'!B92*12</f>
        <v>180000</v>
      </c>
      <c r="D32" s="43">
        <f>(2+2)*'Global Assumptions'!B93*12</f>
        <v>408000</v>
      </c>
    </row>
    <row r="33" spans="1:4">
      <c r="A33" s="4" t="s">
        <v>253</v>
      </c>
      <c r="B33" s="43">
        <f>SUM('12-Mo Projections'!B39:'12-Mo Projections'!M39)</f>
        <v>48000</v>
      </c>
      <c r="C33" s="43">
        <f>(1+1)*'Global Assumptions'!B92*12</f>
        <v>180000</v>
      </c>
      <c r="D33" s="43">
        <f>(2+1)*'Global Assumptions'!B93*12</f>
        <v>306000</v>
      </c>
    </row>
    <row r="34" spans="1:4">
      <c r="A34" s="4" t="s">
        <v>254</v>
      </c>
      <c r="B34" s="43">
        <f>SUM('12-Mo Projections'!B40:'12-Mo Projections'!M40)</f>
        <v>40000</v>
      </c>
      <c r="C34" s="43">
        <f>1*'Global Assumptions'!B92*12</f>
        <v>90000</v>
      </c>
      <c r="D34" s="43">
        <f>(1+1)*'Global Assumptions'!B93*12</f>
        <v>204000</v>
      </c>
    </row>
    <row r="35" spans="1:4">
      <c r="A35" s="4" t="s">
        <v>255</v>
      </c>
      <c r="B35" s="43">
        <f>SUM('12-Mo Projections'!B41:'12-Mo Projections'!M41)</f>
        <v>12000</v>
      </c>
      <c r="C35" s="43">
        <f>1*'Global Assumptions'!B92*12</f>
        <v>90000</v>
      </c>
      <c r="D35" s="43">
        <f>(1+1)*'Global Assumptions'!B93*12</f>
        <v>204000</v>
      </c>
    </row>
    <row r="36" spans="1:4">
      <c r="A36" s="4" t="s">
        <v>256</v>
      </c>
      <c r="B36" s="43">
        <f>SUM('12-Mo Projections'!B42:'12-Mo Projections'!M42)</f>
        <v>20000</v>
      </c>
      <c r="C36" s="43">
        <f>1*'Global Assumptions'!B92*12</f>
        <v>90000</v>
      </c>
      <c r="D36" s="43">
        <f>(1+2)*'Global Assumptions'!B93*12</f>
        <v>306000</v>
      </c>
    </row>
    <row r="37" spans="1:4">
      <c r="A37" s="4" t="s">
        <v>166</v>
      </c>
      <c r="B37" s="43">
        <f>SUM('12-Mo Projections'!B43:'12-Mo Projections'!M43)</f>
        <v>112800</v>
      </c>
      <c r="C37" s="43">
        <f>(C30+C31+C32+C33+C34+C35+C36)*'Global Assumptions'!B59</f>
        <v>231600</v>
      </c>
      <c r="D37" s="43">
        <f>(D30+D31+D32+D33+D34+D35+D36)*'Global Assumptions'!B59</f>
        <v>462000</v>
      </c>
    </row>
    <row r="38" spans="1:4">
      <c r="A38" s="4" t="s">
        <v>257</v>
      </c>
      <c r="B38" s="43">
        <f>SUM('12-Mo Projections'!B44:'12-Mo Projections'!M44)</f>
        <v>106924</v>
      </c>
      <c r="C38" s="43">
        <f>B38*(1+'Global Assumptions'!B94)</f>
        <v>320772</v>
      </c>
      <c r="D38" s="43">
        <f>C38*(1.2)</f>
        <v>384926.39999999997</v>
      </c>
    </row>
    <row r="39" spans="1:4">
      <c r="A39" s="4" t="s">
        <v>258</v>
      </c>
      <c r="B39" s="43">
        <f>SUM('12-Mo Projections'!B45:'12-Mo Projections'!M45)</f>
        <v>311889</v>
      </c>
      <c r="C39" s="43">
        <f>C17*'Global Assumptions'!B99</f>
        <v>737130.29399999999</v>
      </c>
      <c r="D39" s="43">
        <f>D17*'Global Assumptions'!B100</f>
        <v>2457100.98</v>
      </c>
    </row>
    <row r="40" spans="1:4">
      <c r="A40" s="11" t="s">
        <v>259</v>
      </c>
      <c r="B40" s="41">
        <f>B38+B39</f>
        <v>418813</v>
      </c>
      <c r="C40" s="41">
        <f>C38+C39</f>
        <v>1057902.294</v>
      </c>
      <c r="D40" s="41">
        <f>D38+D39</f>
        <v>2842027.38</v>
      </c>
    </row>
    <row r="41" spans="1:4">
      <c r="A41" s="4" t="s">
        <v>260</v>
      </c>
      <c r="B41" s="43">
        <f>SUM('12-Mo Projections'!B47:'12-Mo Projections'!M47)</f>
        <v>74400</v>
      </c>
      <c r="C41" s="43">
        <f>(C4-B4)*'Global Assumptions'!B10</f>
        <v>595200</v>
      </c>
      <c r="D41" s="43">
        <f>(D4-C4)*'Global Assumptions'!B10</f>
        <v>2678400</v>
      </c>
    </row>
    <row r="42" spans="1:4">
      <c r="A42" s="4" t="s">
        <v>261</v>
      </c>
      <c r="B42" s="43">
        <f>SUM('12-Mo Projections'!B48:'12-Mo Projections'!M48)</f>
        <v>80950</v>
      </c>
      <c r="C42" s="43">
        <f>('Global Assumptions'!B62+'Global Assumptions'!B63+'Global Assumptions'!B64+'Global Assumptions'!B65)*12*(1+'Global Assumptions'!B94/100) + ROUND(C8/1000,0)*'Global Assumptions'!B107*12</f>
        <v>252288</v>
      </c>
      <c r="D42" s="43">
        <f>('Global Assumptions'!B62+'Global Assumptions'!B63+'Global Assumptions'!B64+'Global Assumptions'!B65)*12*(1+'Global Assumptions'!B94/100)*(1+'Global Assumptions'!B95/100) + ROUND(D8/1000,0)*'Global Assumptions'!B107*12</f>
        <v>958964.64</v>
      </c>
    </row>
    <row r="43" spans="1:4" ht="17" thickBot="1">
      <c r="A43" s="11" t="s">
        <v>167</v>
      </c>
      <c r="B43" s="51">
        <f>SUM(B30:B42)</f>
        <v>1669776</v>
      </c>
      <c r="C43" s="51">
        <f>SUM(C30:C42)</f>
        <v>4352892.5879999995</v>
      </c>
      <c r="D43" s="51">
        <f>SUM(D30:D42)</f>
        <v>12093419.4</v>
      </c>
    </row>
    <row r="44" spans="1:4" ht="18" thickTop="1" thickBot="1">
      <c r="A44" s="37"/>
      <c r="B44" s="6"/>
      <c r="C44" s="6"/>
      <c r="D44" s="6"/>
    </row>
    <row r="45" spans="1:4" ht="18" thickTop="1" thickBot="1">
      <c r="A45" s="11" t="s">
        <v>188</v>
      </c>
      <c r="B45" s="56">
        <f>B26-B43</f>
        <v>-1600629.5221800001</v>
      </c>
      <c r="C45" s="56">
        <f>C26-C43</f>
        <v>-2610728.6990399999</v>
      </c>
      <c r="D45" s="56">
        <f>D26-D43</f>
        <v>-2452092.2051999997</v>
      </c>
    </row>
    <row r="46" spans="1:4" ht="17" thickTop="1">
      <c r="A46" s="37"/>
      <c r="B46" s="6"/>
      <c r="C46" s="6"/>
      <c r="D46" s="6"/>
    </row>
    <row r="47" spans="1:4">
      <c r="A47" s="11" t="s">
        <v>189</v>
      </c>
      <c r="B47" s="41">
        <f>'12-Mo Projections'!M23*12</f>
        <v>546022.43999999994</v>
      </c>
      <c r="C47" s="41">
        <f>C17</f>
        <v>4914201.96</v>
      </c>
      <c r="D47" s="41">
        <f>D17</f>
        <v>24571009.800000001</v>
      </c>
    </row>
    <row r="48" spans="1:4">
      <c r="A48" s="11" t="s">
        <v>190</v>
      </c>
      <c r="B48" s="47">
        <f>B45/12</f>
        <v>-133385.793515</v>
      </c>
      <c r="C48" s="47">
        <f>C45/12</f>
        <v>-217560.72491999998</v>
      </c>
      <c r="D48" s="47">
        <f>D45/12</f>
        <v>-204341.01709999997</v>
      </c>
    </row>
    <row r="49" spans="1:5">
      <c r="A49" s="37"/>
      <c r="B49" s="6"/>
      <c r="C49" s="6"/>
      <c r="D49" s="6"/>
    </row>
    <row r="50" spans="1:5">
      <c r="A50" s="14" t="s">
        <v>264</v>
      </c>
      <c r="B50" s="45"/>
      <c r="C50" s="45"/>
      <c r="D50" s="45"/>
      <c r="E50" s="3"/>
    </row>
    <row r="51" spans="1:5">
      <c r="A51" s="11" t="s">
        <v>201</v>
      </c>
      <c r="B51" s="41">
        <f>ROUND(B17/B9,0)</f>
        <v>22185</v>
      </c>
      <c r="C51" s="41">
        <f>ROUND(C17/C9,0)</f>
        <v>351014</v>
      </c>
      <c r="D51" s="41">
        <f>ROUND(D17/D9,0)</f>
        <v>1023792</v>
      </c>
    </row>
    <row r="52" spans="1:5">
      <c r="A52" s="37"/>
      <c r="B52" s="6"/>
      <c r="C52" s="6"/>
      <c r="D52" s="6"/>
    </row>
    <row r="53" spans="1:5">
      <c r="A53" s="11" t="s">
        <v>202</v>
      </c>
      <c r="B53" s="23" t="s">
        <v>410</v>
      </c>
      <c r="C53" s="23" t="s">
        <v>203</v>
      </c>
      <c r="D53" s="23"/>
    </row>
    <row r="54" spans="1:5">
      <c r="A54" s="4" t="s">
        <v>204</v>
      </c>
      <c r="B54" s="43">
        <f>'Global Assumptions'!B77</f>
        <v>2000000</v>
      </c>
      <c r="C54" s="9">
        <v>5000000</v>
      </c>
      <c r="D54" s="9"/>
    </row>
    <row r="55" spans="1:5">
      <c r="A55" s="4" t="s">
        <v>205</v>
      </c>
      <c r="B55" s="43">
        <f>'Global Assumptions'!B81</f>
        <v>1985000</v>
      </c>
      <c r="C55" s="43">
        <f>B57+C54</f>
        <v>5384370.4778199997</v>
      </c>
      <c r="D55" s="43">
        <f>C57+D54</f>
        <v>2773641.7787799998</v>
      </c>
    </row>
    <row r="56" spans="1:5">
      <c r="A56" s="4" t="s">
        <v>206</v>
      </c>
      <c r="B56" s="47">
        <f>B45</f>
        <v>-1600629.5221800001</v>
      </c>
      <c r="C56" s="47">
        <f>C45</f>
        <v>-2610728.6990399999</v>
      </c>
      <c r="D56" s="47">
        <f>D45</f>
        <v>-2452092.2051999997</v>
      </c>
    </row>
    <row r="57" spans="1:5" ht="17" thickBot="1">
      <c r="A57" s="11" t="s">
        <v>207</v>
      </c>
      <c r="B57" s="53">
        <f>B55+B56</f>
        <v>384370.47781999991</v>
      </c>
      <c r="C57" s="53">
        <f>C55+C56</f>
        <v>2773641.7787799998</v>
      </c>
      <c r="D57" s="53">
        <f>D55+D56</f>
        <v>321549.57358000008</v>
      </c>
    </row>
    <row r="58" spans="1:5" ht="17" thickTop="1">
      <c r="A58" s="19" t="s">
        <v>208</v>
      </c>
      <c r="B58" s="6">
        <f>IF(B48&gt;=0,"Profitable",ROUND(-B57/B48,0))</f>
        <v>3</v>
      </c>
      <c r="C58" s="6">
        <f>IF(C48&gt;=0,"Profitable",ROUND(-C57/C48,0))</f>
        <v>13</v>
      </c>
      <c r="D58" s="6">
        <f>IF(D48&gt;=0,"Profitable",ROUND(-D57/D48,0))</f>
        <v>2</v>
      </c>
    </row>
    <row r="59" spans="1:5">
      <c r="A59" s="11" t="s">
        <v>209</v>
      </c>
      <c r="B59" s="41">
        <f>B54</f>
        <v>2000000</v>
      </c>
      <c r="C59" s="41">
        <f>B59+C54</f>
        <v>7000000</v>
      </c>
      <c r="D59" s="41">
        <f>C59+D54</f>
        <v>7000000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873D2-5E4A-274E-8E03-C84354617C86}">
  <dimension ref="A1:D28"/>
  <sheetViews>
    <sheetView workbookViewId="0">
      <pane ySplit="2" topLeftCell="A3" activePane="bottomLeft" state="frozen"/>
      <selection pane="bottomLeft"/>
    </sheetView>
  </sheetViews>
  <sheetFormatPr baseColWidth="10" defaultRowHeight="16"/>
  <cols>
    <col min="1" max="1" width="41.6640625" customWidth="1"/>
    <col min="2" max="4" width="20" customWidth="1"/>
  </cols>
  <sheetData>
    <row r="1" spans="1:4" ht="18">
      <c r="A1" s="1" t="s">
        <v>265</v>
      </c>
      <c r="B1" s="2"/>
      <c r="C1" s="2"/>
      <c r="D1" s="2"/>
    </row>
    <row r="2" spans="1:4">
      <c r="A2" s="12"/>
      <c r="B2" s="13" t="s">
        <v>175</v>
      </c>
      <c r="C2" s="13" t="s">
        <v>176</v>
      </c>
      <c r="D2" s="13" t="s">
        <v>177</v>
      </c>
    </row>
    <row r="3" spans="1:4">
      <c r="A3" s="14" t="s">
        <v>381</v>
      </c>
      <c r="B3" s="45"/>
      <c r="C3" s="45"/>
      <c r="D3" s="45"/>
    </row>
    <row r="4" spans="1:4">
      <c r="A4" s="4" t="s">
        <v>382</v>
      </c>
      <c r="B4" s="47">
        <f>'3-Yr Summary P&amp;L'!B45</f>
        <v>-1600629.5221800001</v>
      </c>
      <c r="C4" s="47">
        <f>'3-Yr Summary P&amp;L'!C45</f>
        <v>-2610728.6990399999</v>
      </c>
      <c r="D4" s="47">
        <f>'3-Yr Summary P&amp;L'!D45</f>
        <v>-2452092.2051999997</v>
      </c>
    </row>
    <row r="5" spans="1:4">
      <c r="A5" s="4" t="s">
        <v>474</v>
      </c>
      <c r="B5" s="47"/>
      <c r="C5" s="47"/>
      <c r="D5" s="47"/>
    </row>
    <row r="6" spans="1:4">
      <c r="A6" s="4" t="s">
        <v>383</v>
      </c>
      <c r="B6" s="47">
        <f>-'3-Yr Summary P&amp;L'!B17*0.05</f>
        <v>-9983.0660000000007</v>
      </c>
      <c r="C6" s="47">
        <f>-('3-Yr Summary P&amp;L'!C17-'3-Yr Summary P&amp;L'!B17)*0.05</f>
        <v>-235727.03200000001</v>
      </c>
      <c r="D6" s="47">
        <f>-('3-Yr Summary P&amp;L'!D17-'3-Yr Summary P&amp;L'!C17)*0.05</f>
        <v>-982840.39199999999</v>
      </c>
    </row>
    <row r="7" spans="1:4">
      <c r="A7" s="4" t="s">
        <v>384</v>
      </c>
      <c r="B7" s="47">
        <f>'3-Yr Summary P&amp;L'!B43*0.03</f>
        <v>50093.279999999999</v>
      </c>
      <c r="C7" s="47">
        <f>('3-Yr Summary P&amp;L'!C43-'3-Yr Summary P&amp;L'!B43)*0.03</f>
        <v>80493.497639999987</v>
      </c>
      <c r="D7" s="47">
        <f>('3-Yr Summary P&amp;L'!D43-'3-Yr Summary P&amp;L'!C43)*0.03</f>
        <v>232215.80436000001</v>
      </c>
    </row>
    <row r="8" spans="1:4">
      <c r="A8" s="4" t="s">
        <v>385</v>
      </c>
      <c r="B8" s="47">
        <f>'3-Yr Summary P&amp;L'!B17*0.02</f>
        <v>3993.2264</v>
      </c>
      <c r="C8" s="47">
        <f>('3-Yr Summary P&amp;L'!C17-'3-Yr Summary P&amp;L'!B17)*0.02</f>
        <v>94290.8128</v>
      </c>
      <c r="D8" s="47">
        <f>('3-Yr Summary P&amp;L'!D17-'3-Yr Summary P&amp;L'!C17)*0.02</f>
        <v>393136.1568</v>
      </c>
    </row>
    <row r="9" spans="1:4">
      <c r="A9" s="11" t="s">
        <v>386</v>
      </c>
      <c r="B9" s="79">
        <f>B4</f>
        <v>-1600629.5221800001</v>
      </c>
      <c r="C9" s="79">
        <f>C4</f>
        <v>-2610728.6990399999</v>
      </c>
      <c r="D9" s="79">
        <f>D4</f>
        <v>-2452092.2051999997</v>
      </c>
    </row>
    <row r="10" spans="1:4">
      <c r="A10" s="37"/>
      <c r="B10" s="6"/>
      <c r="C10" s="6"/>
      <c r="D10" s="6"/>
    </row>
    <row r="11" spans="1:4">
      <c r="A11" s="14" t="s">
        <v>387</v>
      </c>
      <c r="B11" s="45"/>
      <c r="C11" s="45"/>
      <c r="D11" s="45"/>
    </row>
    <row r="12" spans="1:4">
      <c r="A12" s="4" t="s">
        <v>472</v>
      </c>
      <c r="B12" s="47">
        <v>0</v>
      </c>
      <c r="C12" s="47">
        <v>0</v>
      </c>
      <c r="D12" s="47">
        <v>0</v>
      </c>
    </row>
    <row r="13" spans="1:4">
      <c r="A13" s="4" t="s">
        <v>473</v>
      </c>
      <c r="B13" s="47">
        <v>0</v>
      </c>
      <c r="C13" s="47">
        <v>0</v>
      </c>
      <c r="D13" s="47">
        <v>0</v>
      </c>
    </row>
    <row r="14" spans="1:4">
      <c r="A14" s="11" t="s">
        <v>388</v>
      </c>
      <c r="B14" s="79">
        <f>B12+B13</f>
        <v>0</v>
      </c>
      <c r="C14" s="79">
        <f>C12+C13</f>
        <v>0</v>
      </c>
      <c r="D14" s="79">
        <f>D12+D13</f>
        <v>0</v>
      </c>
    </row>
    <row r="15" spans="1:4">
      <c r="A15" s="37"/>
      <c r="B15" s="6"/>
      <c r="C15" s="6"/>
      <c r="D15" s="6"/>
    </row>
    <row r="16" spans="1:4">
      <c r="A16" s="14" t="s">
        <v>389</v>
      </c>
      <c r="B16" s="45"/>
      <c r="C16" s="45"/>
      <c r="D16" s="45"/>
    </row>
    <row r="17" spans="1:4">
      <c r="A17" s="4" t="s">
        <v>390</v>
      </c>
      <c r="B17" s="47">
        <v>0</v>
      </c>
      <c r="C17" s="47">
        <f>IF('3-Yr Summary P&amp;L'!C54="",0,'3-Yr Summary P&amp;L'!C54)</f>
        <v>5000000</v>
      </c>
      <c r="D17" s="47">
        <f>IF('3-Yr Summary P&amp;L'!D54="",0,'3-Yr Summary P&amp;L'!D54)</f>
        <v>0</v>
      </c>
    </row>
    <row r="18" spans="1:4">
      <c r="A18" s="11" t="s">
        <v>391</v>
      </c>
      <c r="B18" s="79">
        <f>B17</f>
        <v>0</v>
      </c>
      <c r="C18" s="79">
        <f>C17</f>
        <v>5000000</v>
      </c>
      <c r="D18" s="79">
        <f>D17</f>
        <v>0</v>
      </c>
    </row>
    <row r="19" spans="1:4" ht="17" thickBot="1">
      <c r="A19" s="37"/>
      <c r="B19" s="6"/>
      <c r="C19" s="6"/>
      <c r="D19" s="6"/>
    </row>
    <row r="20" spans="1:4" ht="18" thickTop="1" thickBot="1">
      <c r="A20" s="11" t="s">
        <v>392</v>
      </c>
      <c r="B20" s="56">
        <f>B9+B14+B18</f>
        <v>-1600629.5221800001</v>
      </c>
      <c r="C20" s="56">
        <f>C9+C14+C18</f>
        <v>2389271.3009600001</v>
      </c>
      <c r="D20" s="56">
        <f>D9+D14+D18</f>
        <v>-2452092.2051999997</v>
      </c>
    </row>
    <row r="21" spans="1:4" ht="17" thickTop="1">
      <c r="A21" s="37"/>
      <c r="B21" s="6"/>
      <c r="C21" s="6"/>
      <c r="D21" s="6"/>
    </row>
    <row r="22" spans="1:4">
      <c r="A22" s="4" t="s">
        <v>205</v>
      </c>
      <c r="B22" s="47">
        <f>'3-Yr Summary P&amp;L'!B55</f>
        <v>1985000</v>
      </c>
      <c r="C22" s="47">
        <f>B23</f>
        <v>384370.47781999991</v>
      </c>
      <c r="D22" s="47">
        <f>C23</f>
        <v>2773641.7787800003</v>
      </c>
    </row>
    <row r="23" spans="1:4" ht="17" thickBot="1">
      <c r="A23" s="11" t="s">
        <v>207</v>
      </c>
      <c r="B23" s="53">
        <f>B22+B20</f>
        <v>384370.47781999991</v>
      </c>
      <c r="C23" s="53">
        <f>C22+C20</f>
        <v>2773641.7787800003</v>
      </c>
      <c r="D23" s="53">
        <f>D22+D20</f>
        <v>321549.57358000055</v>
      </c>
    </row>
    <row r="24" spans="1:4" ht="17" thickTop="1">
      <c r="A24" s="37"/>
      <c r="B24" s="6"/>
      <c r="C24" s="6"/>
      <c r="D24" s="6"/>
    </row>
    <row r="25" spans="1:4">
      <c r="A25" s="14" t="s">
        <v>393</v>
      </c>
      <c r="B25" s="45"/>
      <c r="C25" s="45"/>
      <c r="D25" s="45"/>
    </row>
    <row r="26" spans="1:4">
      <c r="A26" s="4" t="s">
        <v>394</v>
      </c>
      <c r="B26" s="47">
        <f>IF(B4&lt;0,B4/12,0)</f>
        <v>-133385.793515</v>
      </c>
      <c r="C26" s="47">
        <f>IF(C4&lt;0,C4/12,0)</f>
        <v>-217560.72491999998</v>
      </c>
      <c r="D26" s="47">
        <f>IF(D4&lt;0,D4/12,0)</f>
        <v>-204341.01709999997</v>
      </c>
    </row>
    <row r="27" spans="1:4">
      <c r="A27" s="4" t="s">
        <v>395</v>
      </c>
      <c r="B27" s="6">
        <f>IF(B26&lt;0,ROUND(-B23/B26,0),"Profitable")</f>
        <v>3</v>
      </c>
      <c r="C27" s="6">
        <f>IF(C26&lt;0,ROUND(-C23/C26,0),"Profitable")</f>
        <v>13</v>
      </c>
      <c r="D27" s="6">
        <f>IF(D26&lt;0,ROUND(-D23/D26,0),"Profitable")</f>
        <v>2</v>
      </c>
    </row>
    <row r="28" spans="1:4">
      <c r="A28" s="4" t="s">
        <v>396</v>
      </c>
      <c r="B28" s="54">
        <f>IF(B4=0,0,B9/B4)</f>
        <v>1</v>
      </c>
      <c r="C28" s="54">
        <f>IF(C4=0,0,C9/C4)</f>
        <v>1</v>
      </c>
      <c r="D28" s="54">
        <f>IF(D4=0,0,D9/D4)</f>
        <v>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E434E0-EA66-1B41-A9F9-0D4B9541D611}">
  <dimension ref="A1:J35"/>
  <sheetViews>
    <sheetView workbookViewId="0">
      <pane ySplit="2" topLeftCell="A3" activePane="bottomLeft" state="frozen"/>
      <selection pane="bottomLeft"/>
    </sheetView>
  </sheetViews>
  <sheetFormatPr baseColWidth="10" defaultRowHeight="16"/>
  <cols>
    <col min="1" max="1" width="26.6640625" customWidth="1"/>
    <col min="2" max="8" width="16.6640625" customWidth="1"/>
  </cols>
  <sheetData>
    <row r="1" spans="1:10" ht="18">
      <c r="A1" s="1" t="s">
        <v>354</v>
      </c>
      <c r="B1" s="2"/>
      <c r="C1" s="2"/>
      <c r="D1" s="2"/>
      <c r="E1" s="2"/>
      <c r="F1" s="2"/>
      <c r="G1" s="2"/>
      <c r="H1" s="2"/>
      <c r="I1" s="2"/>
      <c r="J1" s="2"/>
    </row>
    <row r="3" spans="1:10">
      <c r="A3" s="14" t="s">
        <v>355</v>
      </c>
      <c r="B3" s="3"/>
      <c r="C3" s="3"/>
      <c r="D3" s="3"/>
      <c r="E3" s="3"/>
      <c r="F3" s="3"/>
      <c r="G3" s="3"/>
      <c r="H3" s="3"/>
      <c r="I3" s="3"/>
      <c r="J3" s="3"/>
    </row>
    <row r="4" spans="1:10">
      <c r="A4" s="72" t="s">
        <v>356</v>
      </c>
    </row>
    <row r="6" spans="1:10">
      <c r="A6" s="15" t="s">
        <v>357</v>
      </c>
    </row>
    <row r="7" spans="1:10">
      <c r="A7" s="4" t="s">
        <v>358</v>
      </c>
      <c r="B7" s="73">
        <f>'Global Assumptions'!B24</f>
        <v>120</v>
      </c>
    </row>
    <row r="8" spans="1:10">
      <c r="A8" s="4" t="s">
        <v>359</v>
      </c>
      <c r="B8" s="73">
        <f>'Global Assumptions'!B26</f>
        <v>240</v>
      </c>
    </row>
    <row r="9" spans="1:10">
      <c r="A9" s="4" t="s">
        <v>360</v>
      </c>
      <c r="B9" s="74">
        <f>'Global Assumptions'!B28</f>
        <v>12.99</v>
      </c>
    </row>
    <row r="10" spans="1:10">
      <c r="A10" s="4" t="s">
        <v>361</v>
      </c>
      <c r="B10" s="73">
        <f>'3-Yr Summary P&amp;L'!B15</f>
        <v>105250</v>
      </c>
    </row>
    <row r="11" spans="1:10">
      <c r="A11" s="4" t="s">
        <v>362</v>
      </c>
      <c r="B11" s="73">
        <f>'3-Yr Summary P&amp;L'!B16</f>
        <v>94411.32</v>
      </c>
    </row>
    <row r="12" spans="1:10">
      <c r="A12" s="4" t="s">
        <v>363</v>
      </c>
      <c r="B12" s="75">
        <f>'3-Yr Summary P&amp;L'!B17</f>
        <v>199661.32</v>
      </c>
    </row>
    <row r="14" spans="1:10">
      <c r="A14" s="11" t="s">
        <v>364</v>
      </c>
    </row>
    <row r="15" spans="1:10">
      <c r="A15" s="76" t="s">
        <v>365</v>
      </c>
      <c r="B15" s="13" t="s">
        <v>366</v>
      </c>
      <c r="C15" s="13" t="s">
        <v>367</v>
      </c>
      <c r="D15" s="13" t="s">
        <v>368</v>
      </c>
      <c r="E15" s="13" t="s">
        <v>369</v>
      </c>
      <c r="F15" s="13" t="s">
        <v>370</v>
      </c>
      <c r="G15" s="13" t="s">
        <v>371</v>
      </c>
      <c r="H15" s="13" t="s">
        <v>372</v>
      </c>
    </row>
    <row r="16" spans="1:10">
      <c r="A16" s="13" t="s">
        <v>369</v>
      </c>
      <c r="B16" s="43">
        <f>B10 + B11 * ((0.7*60/12 + 0.3*120/12) / B9)</f>
        <v>152492</v>
      </c>
      <c r="C16" s="43">
        <f>B10 + B11 * ((0.7*80/12 + 0.3*120/12) / B9)</f>
        <v>160971.33333333334</v>
      </c>
      <c r="D16" s="43">
        <f>B10 + B11 * ((0.7*100/12 + 0.3*120/12) / B9)</f>
        <v>169450.66666666666</v>
      </c>
      <c r="E16" s="43">
        <f>B10 + B11 * ((0.7*120/12 + 0.3*120/12) / B9)</f>
        <v>177930</v>
      </c>
      <c r="F16" s="43">
        <f>B10 + B11 * ((0.7*140/12 + 0.3*120/12) / B9)</f>
        <v>186409.33333333334</v>
      </c>
      <c r="G16" s="43">
        <f>B10 + B11 * ((0.7*160/12 + 0.3*120/12) / B9)</f>
        <v>194888.66666666669</v>
      </c>
      <c r="H16" s="43">
        <f>B10 + B11 * ((0.7*180/12 + 0.3*120/12) / B9)</f>
        <v>203368</v>
      </c>
    </row>
    <row r="17" spans="1:8">
      <c r="A17" s="13" t="s">
        <v>371</v>
      </c>
      <c r="B17" s="43">
        <f>B10 + B11 * ((0.7*60/12 + 0.3*160/12) / B9)</f>
        <v>159760</v>
      </c>
      <c r="C17" s="43">
        <f>B10 + B11 * ((0.7*80/12 + 0.3*160/12) / B9)</f>
        <v>168239.33333333334</v>
      </c>
      <c r="D17" s="43">
        <f>B10 + B11 * ((0.7*100/12 + 0.3*160/12) / B9)</f>
        <v>176718.66666666666</v>
      </c>
      <c r="E17" s="43">
        <f>B10 + B11 * ((0.7*120/12 + 0.3*160/12) / B9)</f>
        <v>185198</v>
      </c>
      <c r="F17" s="43">
        <f>B10 + B11 * ((0.7*140/12 + 0.3*160/12) / B9)</f>
        <v>193677.33333333334</v>
      </c>
      <c r="G17" s="43">
        <f>B10 + B11 * ((0.7*160/12 + 0.3*160/12) / B9)</f>
        <v>202156.66666666669</v>
      </c>
      <c r="H17" s="43">
        <f>B10 + B11 * ((0.7*180/12 + 0.3*160/12) / B9)</f>
        <v>210636</v>
      </c>
    </row>
    <row r="18" spans="1:8">
      <c r="A18" s="13" t="s">
        <v>373</v>
      </c>
      <c r="B18" s="43">
        <f>B10 + B11 * ((0.7*60/12 + 0.3*200/12) / B9)</f>
        <v>167028</v>
      </c>
      <c r="C18" s="43">
        <f>B10 + B11 * ((0.7*80/12 + 0.3*200/12) / B9)</f>
        <v>175507.33333333334</v>
      </c>
      <c r="D18" s="43">
        <f>B10 + B11 * ((0.7*100/12 + 0.3*200/12) / B9)</f>
        <v>183986.66666666666</v>
      </c>
      <c r="E18" s="43">
        <f>B10 + B11 * ((0.7*120/12 + 0.3*200/12) / B9)</f>
        <v>192466</v>
      </c>
      <c r="F18" s="43">
        <f>B10 + B11 * ((0.7*140/12 + 0.3*200/12) / B9)</f>
        <v>200945.33333333334</v>
      </c>
      <c r="G18" s="43">
        <f>B10 + B11 * ((0.7*160/12 + 0.3*200/12) / B9)</f>
        <v>209424.66666666669</v>
      </c>
      <c r="H18" s="43">
        <f>B10 + B11 * ((0.7*180/12 + 0.3*200/12) / B9)</f>
        <v>217904</v>
      </c>
    </row>
    <row r="19" spans="1:8">
      <c r="A19" s="13" t="s">
        <v>374</v>
      </c>
      <c r="B19" s="43">
        <f>B10 + B11 * ((0.7*60/12 + 0.3*240/12) / B9)</f>
        <v>174296</v>
      </c>
      <c r="C19" s="43">
        <f>B10 + B11 * ((0.7*80/12 + 0.3*240/12) / B9)</f>
        <v>182775.33333333334</v>
      </c>
      <c r="D19" s="43">
        <f>B10 + B11 * ((0.7*100/12 + 0.3*240/12) / B9)</f>
        <v>191254.66666666669</v>
      </c>
      <c r="E19" s="61">
        <f>B10 + B11 * ((0.7*120/12 + 0.3*240/12) / B9)</f>
        <v>199734</v>
      </c>
      <c r="F19" s="43">
        <f>B10 + B11 * ((0.7*140/12 + 0.3*240/12) / B9)</f>
        <v>208213.33333333331</v>
      </c>
      <c r="G19" s="43">
        <f>B10 + B11 * ((0.7*160/12 + 0.3*240/12) / B9)</f>
        <v>216692.66666666669</v>
      </c>
      <c r="H19" s="43">
        <f>B10 + B11 * ((0.7*180/12 + 0.3*240/12) / B9)</f>
        <v>225172</v>
      </c>
    </row>
    <row r="20" spans="1:8">
      <c r="A20" s="13" t="s">
        <v>375</v>
      </c>
      <c r="B20" s="43">
        <f>B10 + B11 * ((0.7*60/12 + 0.3*280/12) / B9)</f>
        <v>181564</v>
      </c>
      <c r="C20" s="43">
        <f>B10 + B11 * ((0.7*80/12 + 0.3*280/12) / B9)</f>
        <v>190043.33333333334</v>
      </c>
      <c r="D20" s="43">
        <f>B10 + B11 * ((0.7*100/12 + 0.3*280/12) / B9)</f>
        <v>198522.66666666669</v>
      </c>
      <c r="E20" s="43">
        <f>B10 + B11 * ((0.7*120/12 + 0.3*280/12) / B9)</f>
        <v>207002</v>
      </c>
      <c r="F20" s="43">
        <f>B10 + B11 * ((0.7*140/12 + 0.3*280/12) / B9)</f>
        <v>215481.33333333334</v>
      </c>
      <c r="G20" s="43">
        <f>B10 + B11 * ((0.7*160/12 + 0.3*280/12) / B9)</f>
        <v>223960.66666666669</v>
      </c>
      <c r="H20" s="43">
        <f>B10 + B11 * ((0.7*180/12 + 0.3*280/12) / B9)</f>
        <v>232440</v>
      </c>
    </row>
    <row r="21" spans="1:8">
      <c r="A21" s="13" t="s">
        <v>376</v>
      </c>
      <c r="B21" s="43">
        <f>B10 + B11 * ((0.7*60/12 + 0.3*320/12) / B9)</f>
        <v>188832</v>
      </c>
      <c r="C21" s="43">
        <f>B10 + B11 * ((0.7*80/12 + 0.3*320/12) / B9)</f>
        <v>197311.33333333334</v>
      </c>
      <c r="D21" s="43">
        <f>B10 + B11 * ((0.7*100/12 + 0.3*320/12) / B9)</f>
        <v>205790.66666666666</v>
      </c>
      <c r="E21" s="43">
        <f>B10 + B11 * ((0.7*120/12 + 0.3*320/12) / B9)</f>
        <v>214270</v>
      </c>
      <c r="F21" s="43">
        <f>B10 + B11 * ((0.7*140/12 + 0.3*320/12) / B9)</f>
        <v>222749.33333333331</v>
      </c>
      <c r="G21" s="43">
        <f>B10 + B11 * ((0.7*160/12 + 0.3*320/12) / B9)</f>
        <v>231228.66666666669</v>
      </c>
      <c r="H21" s="43">
        <f>B10 + B11 * ((0.7*180/12 + 0.3*320/12) / B9)</f>
        <v>239708.00000000003</v>
      </c>
    </row>
    <row r="22" spans="1:8">
      <c r="A22" s="13" t="s">
        <v>377</v>
      </c>
      <c r="B22" s="43">
        <f>B10 + B11 * ((0.7*60/12 + 0.3*360/12) / B9)</f>
        <v>196100</v>
      </c>
      <c r="C22" s="43">
        <f>B10 + B11 * ((0.7*80/12 + 0.3*360/12) / B9)</f>
        <v>204579.33333333334</v>
      </c>
      <c r="D22" s="43">
        <f>B10 + B11 * ((0.7*100/12 + 0.3*360/12) / B9)</f>
        <v>213058.66666666669</v>
      </c>
      <c r="E22" s="43">
        <f>B10 + B11 * ((0.7*120/12 + 0.3*360/12) / B9)</f>
        <v>221538</v>
      </c>
      <c r="F22" s="43">
        <f>B10 + B11 * ((0.7*140/12 + 0.3*360/12) / B9)</f>
        <v>230017.33333333331</v>
      </c>
      <c r="G22" s="43">
        <f>B10 + B11 * ((0.7*160/12 + 0.3*360/12) / B9)</f>
        <v>238496.66666666672</v>
      </c>
      <c r="H22" s="43">
        <f>B10 + B11 * ((0.7*180/12 + 0.3*360/12) / B9)</f>
        <v>246976</v>
      </c>
    </row>
    <row r="25" spans="1:8">
      <c r="A25" s="13" t="s">
        <v>378</v>
      </c>
    </row>
    <row r="26" spans="1:8">
      <c r="A26" s="77" t="s">
        <v>379</v>
      </c>
    </row>
    <row r="28" spans="1:8">
      <c r="A28" s="76" t="s">
        <v>380</v>
      </c>
      <c r="B28" s="13" t="s">
        <v>366</v>
      </c>
      <c r="C28" s="13" t="s">
        <v>367</v>
      </c>
      <c r="D28" s="13" t="s">
        <v>368</v>
      </c>
      <c r="E28" s="13" t="s">
        <v>369</v>
      </c>
      <c r="F28" s="13" t="s">
        <v>370</v>
      </c>
      <c r="G28" s="13" t="s">
        <v>371</v>
      </c>
      <c r="H28" s="13" t="s">
        <v>372</v>
      </c>
    </row>
    <row r="29" spans="1:8">
      <c r="A29" s="78">
        <v>0.03</v>
      </c>
      <c r="B29" s="43">
        <f>B10 + B11 * ((0.7*60/12 + 0.3*240/12) / B9) * (0.03/'Global Assumptions'!B16)</f>
        <v>139773</v>
      </c>
      <c r="C29" s="43">
        <f>B10 + B11 * ((0.7*80/12 + 0.3*240/12) / B9) * (0.03/'Global Assumptions'!B16)</f>
        <v>144012.66666666669</v>
      </c>
      <c r="D29" s="43">
        <f>B10 + B11 * ((0.7*100/12 + 0.3*240/12) / B9) * (0.03/'Global Assumptions'!B16)</f>
        <v>148252.33333333334</v>
      </c>
      <c r="E29" s="43">
        <f>B10 + B11 * ((0.7*120/12 + 0.3*240/12) / B9) * (0.03/'Global Assumptions'!B16)</f>
        <v>152492</v>
      </c>
      <c r="F29" s="43">
        <f>B10 + B11 * ((0.7*140/12 + 0.3*240/12) / B9) * (0.03/'Global Assumptions'!B16)</f>
        <v>156731.66666666666</v>
      </c>
      <c r="G29" s="43">
        <f>B10 + B11 * ((0.7*160/12 + 0.3*240/12) / B9) * (0.03/'Global Assumptions'!B16)</f>
        <v>160971.33333333334</v>
      </c>
      <c r="H29" s="43">
        <f>B10 + B11 * ((0.7*180/12 + 0.3*240/12) / B9) * (0.03/'Global Assumptions'!B16)</f>
        <v>165211</v>
      </c>
    </row>
    <row r="30" spans="1:8">
      <c r="A30" s="78">
        <v>0.05</v>
      </c>
      <c r="B30" s="43">
        <f>B10 + B11 * ((0.7*60/12 + 0.3*240/12) / B9) * (0.05/'Global Assumptions'!B16)</f>
        <v>162788.33333333334</v>
      </c>
      <c r="C30" s="43">
        <f>B10 + B11 * ((0.7*80/12 + 0.3*240/12) / B9) * (0.05/'Global Assumptions'!B16)</f>
        <v>169854.44444444444</v>
      </c>
      <c r="D30" s="43">
        <f>B10 + B11 * ((0.7*100/12 + 0.3*240/12) / B9) * (0.05/'Global Assumptions'!B16)</f>
        <v>176920.55555555556</v>
      </c>
      <c r="E30" s="43">
        <f>B10 + B11 * ((0.7*120/12 + 0.3*240/12) / B9) * (0.05/'Global Assumptions'!B16)</f>
        <v>183986.66666666669</v>
      </c>
      <c r="F30" s="43">
        <f>B10 + B11 * ((0.7*140/12 + 0.3*240/12) / B9) * (0.05/'Global Assumptions'!B16)</f>
        <v>191052.77777777778</v>
      </c>
      <c r="G30" s="43">
        <f>B10 + B11 * ((0.7*160/12 + 0.3*240/12) / B9) * (0.05/'Global Assumptions'!B16)</f>
        <v>198118.88888888888</v>
      </c>
      <c r="H30" s="43">
        <f>B10 + B11 * ((0.7*180/12 + 0.3*240/12) / B9) * (0.05/'Global Assumptions'!B16)</f>
        <v>205185</v>
      </c>
    </row>
    <row r="31" spans="1:8">
      <c r="A31" s="78">
        <v>7.0000000000000007E-2</v>
      </c>
      <c r="B31" s="43">
        <f>B10 + B11 * ((0.7*60/12 + 0.3*240/12) / B9) * (0.07/'Global Assumptions'!B16)</f>
        <v>185803.66666666669</v>
      </c>
      <c r="C31" s="43">
        <f>B10 + B11 * ((0.7*80/12 + 0.3*240/12) / B9) * (0.07/'Global Assumptions'!B16)</f>
        <v>195696.22222222225</v>
      </c>
      <c r="D31" s="43">
        <f>B10 + B11 * ((0.7*100/12 + 0.3*240/12) / B9) * (0.07/'Global Assumptions'!B16)</f>
        <v>205588.77777777781</v>
      </c>
      <c r="E31" s="61">
        <f>B10 + B11 * ((0.7*120/12 + 0.3*240/12) / B9) * (0.07/'Global Assumptions'!B16)</f>
        <v>215481.33333333334</v>
      </c>
      <c r="F31" s="43">
        <f>B10 + B11 * ((0.7*140/12 + 0.3*240/12) / B9) * (0.07/'Global Assumptions'!B16)</f>
        <v>225373.88888888888</v>
      </c>
      <c r="G31" s="43">
        <f>B10 + B11 * ((0.7*160/12 + 0.3*240/12) / B9) * (0.07/'Global Assumptions'!B16)</f>
        <v>235266.44444444444</v>
      </c>
      <c r="H31" s="43">
        <f>B10 + B11 * ((0.7*180/12 + 0.3*240/12) / B9) * (0.07/'Global Assumptions'!B16)</f>
        <v>245159.00000000003</v>
      </c>
    </row>
    <row r="32" spans="1:8">
      <c r="A32" s="78">
        <v>0.09</v>
      </c>
      <c r="B32" s="43">
        <f>B10 + B11 * ((0.7*60/12 + 0.3*240/12) / B9) * (0.09/'Global Assumptions'!B16)</f>
        <v>208819</v>
      </c>
      <c r="C32" s="43">
        <f>B10 + B11 * ((0.7*80/12 + 0.3*240/12) / B9) * (0.09/'Global Assumptions'!B16)</f>
        <v>221538</v>
      </c>
      <c r="D32" s="43">
        <f>B10 + B11 * ((0.7*100/12 + 0.3*240/12) / B9) * (0.09/'Global Assumptions'!B16)</f>
        <v>234257</v>
      </c>
      <c r="E32" s="43">
        <f>B10 + B11 * ((0.7*120/12 + 0.3*240/12) / B9) * (0.09/'Global Assumptions'!B16)</f>
        <v>246976</v>
      </c>
      <c r="F32" s="43">
        <f>B10 + B11 * ((0.7*140/12 + 0.3*240/12) / B9) * (0.09/'Global Assumptions'!B16)</f>
        <v>259695</v>
      </c>
      <c r="G32" s="43">
        <f>B10 + B11 * ((0.7*160/12 + 0.3*240/12) / B9) * (0.09/'Global Assumptions'!B16)</f>
        <v>272414</v>
      </c>
      <c r="H32" s="43">
        <f>B10 + B11 * ((0.7*180/12 + 0.3*240/12) / B9) * (0.09/'Global Assumptions'!B16)</f>
        <v>285133</v>
      </c>
    </row>
    <row r="33" spans="1:8">
      <c r="A33" s="78">
        <v>0.11</v>
      </c>
      <c r="B33" s="43">
        <f>B10 + B11 * ((0.7*60/12 + 0.3*240/12) / B9) * (0.11/'Global Assumptions'!B16)</f>
        <v>231834.33333333334</v>
      </c>
      <c r="C33" s="43">
        <f>B10 + B11 * ((0.7*80/12 + 0.3*240/12) / B9) * (0.11/'Global Assumptions'!B16)</f>
        <v>247379.77777777781</v>
      </c>
      <c r="D33" s="43">
        <f>B10 + B11 * ((0.7*100/12 + 0.3*240/12) / B9) * (0.11/'Global Assumptions'!B16)</f>
        <v>262925.22222222225</v>
      </c>
      <c r="E33" s="43">
        <f>B10 + B11 * ((0.7*120/12 + 0.3*240/12) / B9) * (0.11/'Global Assumptions'!B16)</f>
        <v>278470.66666666669</v>
      </c>
      <c r="F33" s="43">
        <f>B10 + B11 * ((0.7*140/12 + 0.3*240/12) / B9) * (0.11/'Global Assumptions'!B16)</f>
        <v>294016.11111111112</v>
      </c>
      <c r="G33" s="43">
        <f>B10 + B11 * ((0.7*160/12 + 0.3*240/12) / B9) * (0.11/'Global Assumptions'!B16)</f>
        <v>309561.55555555562</v>
      </c>
      <c r="H33" s="43">
        <f>B10 + B11 * ((0.7*180/12 + 0.3*240/12) / B9) * (0.11/'Global Assumptions'!B16)</f>
        <v>325107.00000000006</v>
      </c>
    </row>
    <row r="34" spans="1:8">
      <c r="A34" s="78">
        <v>0.13</v>
      </c>
      <c r="B34" s="43">
        <f>B10 + B11 * ((0.7*60/12 + 0.3*240/12) / B9) * (0.13/'Global Assumptions'!B16)</f>
        <v>254849.66666666669</v>
      </c>
      <c r="C34" s="43">
        <f>B10 + B11 * ((0.7*80/12 + 0.3*240/12) / B9) * (0.13/'Global Assumptions'!B16)</f>
        <v>273221.55555555562</v>
      </c>
      <c r="D34" s="43">
        <f>B10 + B11 * ((0.7*100/12 + 0.3*240/12) / B9) * (0.13/'Global Assumptions'!B16)</f>
        <v>291593.4444444445</v>
      </c>
      <c r="E34" s="43">
        <f>B10 + B11 * ((0.7*120/12 + 0.3*240/12) / B9) * (0.13/'Global Assumptions'!B16)</f>
        <v>309965.33333333337</v>
      </c>
      <c r="F34" s="43">
        <f>B10 + B11 * ((0.7*140/12 + 0.3*240/12) / B9) * (0.13/'Global Assumptions'!B16)</f>
        <v>328337.22222222225</v>
      </c>
      <c r="G34" s="43">
        <f>B10 + B11 * ((0.7*160/12 + 0.3*240/12) / B9) * (0.13/'Global Assumptions'!B16)</f>
        <v>346709.11111111112</v>
      </c>
      <c r="H34" s="43">
        <f>B10 + B11 * ((0.7*180/12 + 0.3*240/12) / B9) * (0.13/'Global Assumptions'!B16)</f>
        <v>365081.00000000006</v>
      </c>
    </row>
    <row r="35" spans="1:8">
      <c r="A35" s="78">
        <v>0.15</v>
      </c>
      <c r="B35" s="43">
        <f>B10 + B11 * ((0.7*60/12 + 0.3*240/12) / B9) * (0.15/'Global Assumptions'!B16)</f>
        <v>277865</v>
      </c>
      <c r="C35" s="43">
        <f>B10 + B11 * ((0.7*80/12 + 0.3*240/12) / B9) * (0.15/'Global Assumptions'!B16)</f>
        <v>299063.33333333337</v>
      </c>
      <c r="D35" s="43">
        <f>B10 + B11 * ((0.7*100/12 + 0.3*240/12) / B9) * (0.15/'Global Assumptions'!B16)</f>
        <v>320261.66666666669</v>
      </c>
      <c r="E35" s="43">
        <f>B10 + B11 * ((0.7*120/12 + 0.3*240/12) / B9) * (0.15/'Global Assumptions'!B16)</f>
        <v>341460</v>
      </c>
      <c r="F35" s="43">
        <f>B10 + B11 * ((0.7*140/12 + 0.3*240/12) / B9) * (0.15/'Global Assumptions'!B16)</f>
        <v>362658.33333333331</v>
      </c>
      <c r="G35" s="43">
        <f>B10 + B11 * ((0.7*160/12 + 0.3*240/12) / B9) * (0.15/'Global Assumptions'!B16)</f>
        <v>383856.66666666669</v>
      </c>
      <c r="H35" s="43">
        <f>B10 + B11 * ((0.7*180/12 + 0.3*240/12) / B9) * (0.15/'Global Assumptions'!B16)</f>
        <v>405055.00000000006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VC Summary</vt:lpstr>
      <vt:lpstr>Global Assumptions</vt:lpstr>
      <vt:lpstr>12-Mo Projections</vt:lpstr>
      <vt:lpstr>3-Yr Summary P&amp;L</vt:lpstr>
      <vt:lpstr>Cash Flow</vt:lpstr>
      <vt:lpstr>Sensitivity Analysis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NICOLAS PICON</dc:creator>
  <cp:lastModifiedBy>NICOLAS PICON</cp:lastModifiedBy>
  <dcterms:created xsi:type="dcterms:W3CDTF">2026-03-08T19:29:40Z</dcterms:created>
  <dcterms:modified xsi:type="dcterms:W3CDTF">2026-03-11T07:31:43Z</dcterms:modified>
</cp:coreProperties>
</file>